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2"/>
  </bookViews>
  <sheets>
    <sheet name="รายงานประมาณการรายรับ 64 " sheetId="1" r:id="rId1"/>
    <sheet name="รายการเงินอุดหนุน" sheetId="2" r:id="rId2"/>
    <sheet name="ร้อยละ เงินอุดหนุน" sheetId="3" r:id="rId3"/>
    <sheet name="Sheet1 (2)" sheetId="4" r:id="rId4"/>
    <sheet name="61.1" sheetId="5" r:id="rId5"/>
    <sheet name="61" sheetId="6" r:id="rId6"/>
    <sheet name="Sheet1" sheetId="7" r:id="rId7"/>
  </sheets>
  <definedNames>
    <definedName name="_xlnm.Print_Titles" localSheetId="1">'รายการเงินอุดหนุน'!$1:$4</definedName>
    <definedName name="_xlnm.Print_Titles" localSheetId="0">'รายงานประมาณการรายรับ 64 '!$1:$7</definedName>
  </definedNames>
  <calcPr fullCalcOnLoad="1"/>
</workbook>
</file>

<file path=xl/sharedStrings.xml><?xml version="1.0" encoding="utf-8"?>
<sst xmlns="http://schemas.openxmlformats.org/spreadsheetml/2006/main" count="251" uniqueCount="190">
  <si>
    <t>องค์การบริหารส่วนตำบลเวียงตาล</t>
  </si>
  <si>
    <t>อำเภอห้างฉัตร จังหวัดลำปาง</t>
  </si>
  <si>
    <t>หมวดรายรับ</t>
  </si>
  <si>
    <t>ประมาณการ</t>
  </si>
  <si>
    <t>รายงานประมาณการรายรับ</t>
  </si>
  <si>
    <t>หมวด ภาษีอากร</t>
  </si>
  <si>
    <t xml:space="preserve">   ประเภท ภาษีโรงเรือนและที่ดิน</t>
  </si>
  <si>
    <t xml:space="preserve">   ประเภท ภาษีบำรุงท้องที่</t>
  </si>
  <si>
    <t xml:space="preserve">   ประเภท ภาษีป้าย</t>
  </si>
  <si>
    <t>รวมหมวดภาษีอากร</t>
  </si>
  <si>
    <t>หมวด ค่าธรรมเนียม ค่าปรับและใบอนุญาต</t>
  </si>
  <si>
    <t xml:space="preserve">   ประเภท ค่าธรรมเนียมในการออกหนังสือรับรองการแจ้งสถานที่</t>
  </si>
  <si>
    <t>จำหน่ายอาหารหรือสะสมอาหาร</t>
  </si>
  <si>
    <t xml:space="preserve">   ประเภท ค่าธรรมเนียมปิด โปรย ติดตั้ง แผ่นประกาศ หรือแผ่นปลิว</t>
  </si>
  <si>
    <t>เพื่อการโฆษณา</t>
  </si>
  <si>
    <t xml:space="preserve">  ประเภท ค่าธรรมเนียมจดทะเบียนพาณิชย์</t>
  </si>
  <si>
    <t xml:space="preserve">  ประเภท ค่าธรรมเนียมอื่นๆ</t>
  </si>
  <si>
    <t xml:space="preserve">  ประเภท ค่าปรับผู้กระทำผิดกฎหมายจราจรทางบก</t>
  </si>
  <si>
    <t xml:space="preserve">  ประเภท ค่าปรับการผิดสัญญา</t>
  </si>
  <si>
    <t xml:space="preserve">  ประเภท ค่าปรับอื่นๆ</t>
  </si>
  <si>
    <t xml:space="preserve">  ประเภท ค่าใบอนุญาตจัดตั้งสถานที่จำหน่ายอาหารหรือสถานที่</t>
  </si>
  <si>
    <t>สะสมอาหารในครัว หรือพื้นที่ใด ซึ่งมีพื้นที่เกิน 200 ตารางเมตร</t>
  </si>
  <si>
    <t xml:space="preserve">  ประเภท ค่าใบอนุญาตให้ตั้งตลาดเอกชน</t>
  </si>
  <si>
    <t xml:space="preserve">  ประเภท ค่าใบอนุญาตประกอบการค้าสำหรับกิจการที่เป็น</t>
  </si>
  <si>
    <t>อันตรายต่อสุขภาพ</t>
  </si>
  <si>
    <t xml:space="preserve">  ประเภท ค่าใบอนุญาตอื่นๆ</t>
  </si>
  <si>
    <t>รวมหมวดค่าธรรมเนียม ค่าปรับและค่าใบอนุญาต</t>
  </si>
  <si>
    <t>หมวดรายได้จากทรัพย์สิน</t>
  </si>
  <si>
    <t xml:space="preserve">  ประเภท ค่าเช่าหรือค่าบริการสถานที่</t>
  </si>
  <si>
    <t xml:space="preserve">  ประเภท ดอกเบี้ย</t>
  </si>
  <si>
    <t>รวมหมวดรายได้จากทรัพย์สิน</t>
  </si>
  <si>
    <t>หมวดรายได้เบ็ดเตล็ด</t>
  </si>
  <si>
    <t xml:space="preserve">  ประเภท ค่าขายแบบแปลน</t>
  </si>
  <si>
    <t xml:space="preserve">  ประเภท ค่ารับรองสำเนาและถ่ายเอกสาร</t>
  </si>
  <si>
    <t xml:space="preserve">  ประเภท รายได้เบ็ดเตล็ด</t>
  </si>
  <si>
    <t>รวมหมวดรายได้เบ็ดเตล็ด</t>
  </si>
  <si>
    <t>หมวดภาษีจัดสรร</t>
  </si>
  <si>
    <t xml:space="preserve">  ประเภท ภาษีมูลค่าเพิ่มตาม พ.ร.บ.กำหนดแผนฯ</t>
  </si>
  <si>
    <t xml:space="preserve">  ประเภท ภาษีมูลค่าเพิ่มตาม พ.ร.บ.จัดสรรรายได้ฯ</t>
  </si>
  <si>
    <t xml:space="preserve">  ประเภท ภาษีธุรกิจเฉพาะ</t>
  </si>
  <si>
    <t xml:space="preserve">  ประเภท ภาษีสุรา</t>
  </si>
  <si>
    <t xml:space="preserve">  ประเภท ภาษีสรรพสามิต</t>
  </si>
  <si>
    <t xml:space="preserve">  ประเภท ค่าภาคหลวงและค่าธรรมเนียมตามกฎหมายว่าด้วยป่าไม้</t>
  </si>
  <si>
    <t xml:space="preserve">  ประเภท ค่าภาคหลวงแร่</t>
  </si>
  <si>
    <t xml:space="preserve">  ประเภท ค่าภาคหลวงปิโตรเลียม</t>
  </si>
  <si>
    <t xml:space="preserve">  ประเภท เงินที่เก็บตามกฎหมายว่าด้วยอุทยานแห่งชาติ</t>
  </si>
  <si>
    <t>รวมหมวดภาษีจัดสรร</t>
  </si>
  <si>
    <t>หมวดเงินอุดหนุนทั่วไป</t>
  </si>
  <si>
    <t>รวมหมวดเงินอุดหนุนทั่วไป</t>
  </si>
  <si>
    <t>รวมทุกหมวด</t>
  </si>
  <si>
    <t xml:space="preserve">  ประเภท ค่าใบอนุญาตเกี่ยวกับการควบคุมอาคาร</t>
  </si>
  <si>
    <t xml:space="preserve">   ประเภท ค่าธรรมเนียมเกี่ยวกับการควบคุมอาคาร</t>
  </si>
  <si>
    <t xml:space="preserve">  ประเภท ค่าธรรมเนียมเกี่ยวกับใบอนุญาตการพนัน</t>
  </si>
  <si>
    <t>หมวดรายได้จากทุน</t>
  </si>
  <si>
    <t>รวมหมวดรายได้จากทุน</t>
  </si>
  <si>
    <t xml:space="preserve">  ประเภท ค่าธรรมเนียมเกี่ยวกับการขายสุรา</t>
  </si>
  <si>
    <t>ยอดต่าง</t>
  </si>
  <si>
    <t>(%)</t>
  </si>
  <si>
    <t xml:space="preserve">  ประเภท ภาษีและค่าธรรมเนียมรถยนต์และล้อเลื่อน</t>
  </si>
  <si>
    <t>ปี 2560</t>
  </si>
  <si>
    <t xml:space="preserve">  ประเภทเงินอุดหนุนสำหรับสนับสนุนอาหารกลางวัน</t>
  </si>
  <si>
    <t xml:space="preserve">  ประเภทเงินอุดหนุนสำหรับสนับสนุนการสงเคราห์เบี้ยยังชีพผู้ป่วยเอดส์</t>
  </si>
  <si>
    <t xml:space="preserve">  ประเภทเงินอุดหนุนสำหรับสนับสนุนศูนย์พัฒนาเด็กเล็ก</t>
  </si>
  <si>
    <t xml:space="preserve">   ประเภทเงินอุดหนุนค่าใช้จ่ายสำหรับสนับสนุนสวัสดิการทางสังคมให้แก่ผู้พิการหรือทุพพลภาพ</t>
  </si>
  <si>
    <t xml:space="preserve">   ประเภทเงินอุดหนุนสำหรับสนับสนุนป้องกันแก้ไขปัญหาไฟป่าและหมอกควัน</t>
  </si>
  <si>
    <t xml:space="preserve">  ประเภทเงินอุดหนุนสำหรับป้องกันและแก้ไขปัญหายาเสพติด</t>
  </si>
  <si>
    <t>รวม</t>
  </si>
  <si>
    <t>รวมทั้งสิ้น</t>
  </si>
  <si>
    <t xml:space="preserve">  ประเภทเงินอุดหนุนสำหรับสนับสนุนอาหารเสริม(นม)</t>
  </si>
  <si>
    <t xml:space="preserve">     1. นางแววดาว  ทรายสมุทร  ผช.หน.ศพด.บ้านสันทราย เดือนละ 15,000 บาท</t>
  </si>
  <si>
    <t xml:space="preserve">     2. นางกัลยา  หวังดี  ผช.หน.ศพด.บ้านยางอ้อย เดือนละ 15,000 บาท</t>
  </si>
  <si>
    <t>ประมาณการรายรับเงินอุดหนุนทั่วไป ตามข้อบัญญัติงบประมาณรายจ่ายประจำปี พ.ศ. 2560</t>
  </si>
  <si>
    <t>องค์การบริหารส่วนตำบลเวียงตาล อำเภอห้างฉัตร  จังหวัดลำปาง</t>
  </si>
  <si>
    <t>ประเภท</t>
  </si>
  <si>
    <t>จำนวนเงิน</t>
  </si>
  <si>
    <t>ลำดับ</t>
  </si>
  <si>
    <t>ประเภทเงินอุดหนุนสำหรับสนับสนุนอาหารเสริม(นม)</t>
  </si>
  <si>
    <t>ประเภทเงินอุดหนุนสำหรับสนับสนุนอาหารกลางวัน</t>
  </si>
  <si>
    <t>ประเภทเงินอุดหนุนสำหรับส่งเสริมศักยภาพการจัดการศึกษาของท้องถิ่น</t>
  </si>
  <si>
    <t>ประเภทเงินอุดหนุนสำหรับสนับสนุนการสงเคราห์เบี้ยยังชีพผู้ป่วยเอดส์</t>
  </si>
  <si>
    <t>ประเภทเงินอุดหนุนค่าใช้จ่ายสำหรับสนับสนุนสวัสดิการทางสังคมให้แก่ผู้พิการ</t>
  </si>
  <si>
    <t>ประเภทเงินอุดหนุนสำหรับป้องกันและแก้ไขปัญหายาเสพติด</t>
  </si>
  <si>
    <t>ประเภทเงินอุดหนุนสำหรับสนับสนุนป้องกันแก้ไขปัญหาไฟป่าและหมอกควัน</t>
  </si>
  <si>
    <t>ประเภท เงินอุดหนุนทั่วไปสำหรับดำเนินการตามอำนาจหน้าที่และภารกิจถ่ายโอนเลือกทำ</t>
  </si>
  <si>
    <t>อุดหนุนทั่วไป</t>
  </si>
  <si>
    <t xml:space="preserve">ประเภทเงินอุดหนุนสำหรับสนับสนุนศูนย์พัฒนาเด็กเล็ก </t>
  </si>
  <si>
    <t>ประเภทเงินอุดหนุนค่าใช้จ่ายสำหรับสนับสนุนผู้สูงอายุ</t>
  </si>
  <si>
    <t>ปี 2559</t>
  </si>
  <si>
    <t>ปี 2561</t>
  </si>
  <si>
    <t>1.ประเภทเงินอุดหนุนทั่วไปสำหรับดำเนินการตามอำนาจหน้าที่และภารกิจถ่ายโอนเลือกทำ</t>
  </si>
  <si>
    <t>2.ประเภทเงินอุดหนุนสำหรับสนับสนุนอาหารเสริม(นม)</t>
  </si>
  <si>
    <t>3. ประเภทเงินอุดหนุนสำหรับสนับสนุนอาหารกลางวัน</t>
  </si>
  <si>
    <t>6.ประเภทเงินอุดหนุนสำหรับสนับสนุนศูนย์พัฒนาเด็กเล็ก</t>
  </si>
  <si>
    <t xml:space="preserve">  6.1  เงินเดือนสำหรับข้าราชการครู ครูคศ.1  จำนวน 4 คน  แยกเป็น</t>
  </si>
  <si>
    <t>สูง/ต่ำ</t>
  </si>
  <si>
    <t>รับจริง</t>
  </si>
  <si>
    <t>รายได้หมวดอื่น</t>
  </si>
  <si>
    <t>ประมาณการ ปี 60</t>
  </si>
  <si>
    <t>รับจริง ปี 60</t>
  </si>
  <si>
    <t>ประมาณการ ปี 61</t>
  </si>
  <si>
    <t xml:space="preserve">ประมาณการ ปี 61 </t>
  </si>
  <si>
    <t>เทียบรับจริง 60</t>
  </si>
  <si>
    <t>เงินผู้สูงอายุ ตั้งไว้ 10,998,000 บาท รับจริง 10,461,600 บาท  = ( -536,400 บาท)</t>
  </si>
  <si>
    <t>เงินผู้พิการ ตั้งไว้ 3,091,200 บาท รับจริง 2,640,000 บาท = ( -451,200 บาท)</t>
  </si>
  <si>
    <t>เงินผู้พิการ รับจริง 2,640,000 บาท หักจ่ายจริง 2,906,400 บาท  ( -266,400 บาท)</t>
  </si>
  <si>
    <t>เงินผู้สูงอายุ รับจริง 10,461,600 บาท หักจ่ายจริง 10,366,900 บาท (+94,700 บาท )</t>
  </si>
  <si>
    <t xml:space="preserve">ประมาณการรายรับ ขาดไป 987,600 บาท </t>
  </si>
  <si>
    <t>โอนงบประมาณรายจ่ายเพิ่มในส่วนของเบี้ยผู้พิการ 171,000 บาท</t>
  </si>
  <si>
    <t>ประมาณการรายรับเงินอุดหนุนทั่วไป ตามข้อบัญญัติงบประมาณรายจ่ายประจำปี พ.ศ. 2561</t>
  </si>
  <si>
    <t>องค์การบริหารส่วนตำบลเวียงตาล อำเภอห้างฉัตร จังหวัดลำปาง</t>
  </si>
  <si>
    <t>ลำดับที่</t>
  </si>
  <si>
    <t>จำนวน</t>
  </si>
  <si>
    <t>(บาท)</t>
  </si>
  <si>
    <t>หมายเหตุ</t>
  </si>
  <si>
    <t>ประเภทอุดหนุนส่วนราชการ</t>
  </si>
  <si>
    <t>อุดหนุนที่ทำการปกครองอำเภอห้างฉัตร</t>
  </si>
  <si>
    <t>อุดหนุนโรงเรียนบ้านสันทราย</t>
  </si>
  <si>
    <t>อุดหนุนโรงเรียนบ้านยางอ้อย</t>
  </si>
  <si>
    <t>ประเภทอุดหนุนเอกชน</t>
  </si>
  <si>
    <t>อุดหนุนสภาวัฒนธรรมตำบลเวียงตาล</t>
  </si>
  <si>
    <t>ประเภทอุดหนุนกิจการที่เป็นสาธารณะประโยชน์</t>
  </si>
  <si>
    <t>อุดหนุนกิ่งกาชาดอำเภอห้างฉัตร</t>
  </si>
  <si>
    <t>คิดเป็นร้อยละ</t>
  </si>
  <si>
    <t>รายรับจริง</t>
  </si>
  <si>
    <t xml:space="preserve">  ประเภท ค่าธรรมเนียมจดทะเบียนสิทธิและนิติกรรมตามประมวลกฎหมายกฎหมายที่ดิน</t>
  </si>
  <si>
    <t>4. ประเภทเงินอุดหนุนสำหรับสำหรับสนับสนุนค่าจัดการเรียนการสอนของ ศพด.(รายหัว)</t>
  </si>
  <si>
    <t xml:space="preserve">     3. นางสาวอรทัย  ตุ้ยเต็มวงศ์  ครูผู้ดูแลเด็ก เดือนละ 9,400 บาท</t>
  </si>
  <si>
    <t xml:space="preserve">     4. นางสาวิตรี  ศรีทิพย์วงศ์  ครูผู้ดูแลเด็ก เดือนละ 9,400 บาท</t>
  </si>
  <si>
    <t xml:space="preserve">     5. นางสาวจิราพร  ปัญญาเรือน  ครูผู้ดูแลเด็ก เดือนละ 9,400 บาท</t>
  </si>
  <si>
    <t xml:space="preserve">     6. นางสุวรรณา  ทองอยู่   ครูผู้ดูแลเด็ก เดือนละ 9,400 บาท</t>
  </si>
  <si>
    <t>7.ประเภทเงินอุดหนุนสำหรับสนับสนุนการสงเคราห์เบี้ยยังชีพผู้ป่วยเอดส์</t>
  </si>
  <si>
    <t>9.ประเภทเงินอุดหนุนค่าใช้จ่ายสำหรับสนับสนุนสวัสดิการทางสังคมให้แก่ผู้พิการ (เบี้ยยังชีพผู้พิการ)</t>
  </si>
  <si>
    <t>10.ประเภทเงินอุดหนุนสำหรับป้องกันและแก้ไขปัญหายาเสพติด</t>
  </si>
  <si>
    <t>11.ประเภทเงินอุดหนุนสำหรับสนับสนุนป้องกันแก้ไขปัญหาไฟป่าและหมอกควัน</t>
  </si>
  <si>
    <t xml:space="preserve">  ประเภทเงินอุดหนุนเงินอุดหนุนสำหรับสำหรับสนับสนุนค่าจัดการเรียนการสอนของ ศพด.(รายหัว)</t>
  </si>
  <si>
    <t xml:space="preserve">  ประเภทเงินอุดหนุนสำหรับสนับสนุนค่าใช้จ่ายในการจัดการศึกษาสำหรับ ศพด.</t>
  </si>
  <si>
    <t>5. ประเภทเงินอุดหนุนสำหรับสนับสนุนค่าใช้จ่ายในการจัดการศึกษาสำหรับ ศพด. (อายุ 3-5 ปี เท่านั้น)</t>
  </si>
  <si>
    <t xml:space="preserve">   ประเภทเงินอุดหนุนสำหรับดำเนินการตามแนวทางโครงการพระราชดำริด้านสาธารณสุข</t>
  </si>
  <si>
    <t>12.ประเภทเงินอุดหนุนสำหรับดำเนินงานตามแนวทางโครงการพระราชดำริด้านสาธารณสุข</t>
  </si>
  <si>
    <t xml:space="preserve">  ประเภท เงินอุดหนุนทั่วไปสำหรับดำเนินการตามอำนาจหน้าที่และภารกิจถ่ายโอนเลือกทำ</t>
  </si>
  <si>
    <t xml:space="preserve"> 13.เงินอุดหนุนสำหรับสำรวจข้อมูลจำนวนสัตว์และขึ้นทะเบียนสัตว์ตามโครงการสัตว์ปลอดโรค คนปลอดภัยฯ</t>
  </si>
  <si>
    <t xml:space="preserve">    -หมู่บ้านละ 20,000 บาท จำนวน 11 หมู่บ้าน</t>
  </si>
  <si>
    <t xml:space="preserve">   - สุนัขและแมว จำนวน 2,000 ตัว ๆ ละ 6 บาท</t>
  </si>
  <si>
    <t xml:space="preserve">  - สุนัขและแมว จำนวน 2,000 ตัว ๆ ละ 30 บาท</t>
  </si>
  <si>
    <t xml:space="preserve">   ประเภทเงินอุดหนุนสำหรับขับเคลื่อนโครงการสัตว์ปลอดโรค คนปลอดภัยจากโรคพิษสุนัขบ้า</t>
  </si>
  <si>
    <t>อุดหนุนโรงเรียนเวียงตาลพิทยาคม</t>
  </si>
  <si>
    <t>อุดหนุน กศน.จังหวัดลำปาง</t>
  </si>
  <si>
    <t>อุดหนุนเทศบาลตำบลปงยางคก</t>
  </si>
  <si>
    <t>รวมกับภาษีสรรพสามิต</t>
  </si>
  <si>
    <t xml:space="preserve">   ประเภท  ภาษีที่ดินและสิ่งปลูกสร้าง</t>
  </si>
  <si>
    <t xml:space="preserve">  ประเภท ค่าธรรมเนียมเกี่ยวกับการประกอบกิจการน้ำมันเชื้อเพลิง</t>
  </si>
  <si>
    <t xml:space="preserve">   ประเภท ค่าขายทอดตลอดทรัพย์สิน</t>
  </si>
  <si>
    <t xml:space="preserve">  ประเภทเงินอุดหนุนค่าใช้จ่ายสำหรับสนับสนุนการสร้างหลักประกันรายได้ให้แก่ผู้สูงอายุ</t>
  </si>
  <si>
    <t>อุดหนุนองค์การบริหารส่วนจังหวัดลำปาง</t>
  </si>
  <si>
    <t>ประจำปีงบประมาณ พ.ศ. 2564</t>
  </si>
  <si>
    <t>ปี 2562</t>
  </si>
  <si>
    <t>ปี 2564</t>
  </si>
  <si>
    <t xml:space="preserve">    1. นางสมร  วงศ์อุตร เดือนละ  27,110  บาท</t>
  </si>
  <si>
    <t xml:space="preserve">    2. นางจุรีภรณ์  ยอดดี  เดือนละ 26,980 บาท</t>
  </si>
  <si>
    <t xml:space="preserve">    3. นางจุฑามาศ  โยปินตา  เดือนละ 27,300 บาท</t>
  </si>
  <si>
    <t xml:space="preserve">    4. นางสาวเพชรรัตน์  คำแปง  เดือนละ 18,120 บาท</t>
  </si>
  <si>
    <t xml:space="preserve">     -โรงเรียน เด็กนักเรียนจำนวน 117 คน ๆ ละ 7.50 บาท จำนวน 260 วัน</t>
  </si>
  <si>
    <t xml:space="preserve">     -ศพด. เด็กเล็กจำนวน 75 คน ๆ ละ 7.50 บาท จำนวน 260 วัน</t>
  </si>
  <si>
    <t xml:space="preserve">     -โรงเรียนเด็กนักเรียนจำนวน 117 คน ๆ ละ 20  บาท จำนวน 200 วัน</t>
  </si>
  <si>
    <t xml:space="preserve">     -ศพด.เด็กเล็กจำนวน 75 คน ๆ ละ 20  บาท จำนวน 245  วัน</t>
  </si>
  <si>
    <t xml:space="preserve">     -อัตราคนละ 1,700 บาท/ปี (จำนวน 75 คน)</t>
  </si>
  <si>
    <t xml:space="preserve">     -ค่าหนังสือเรียน อัตราคนละ 200 บาท /ปี (จำนวน 35 คน)</t>
  </si>
  <si>
    <t xml:space="preserve">     -ค่าอุปกรณ์การเรียน อัตราคนละ 200 บาท/ปี  (จำนวน  35  คน)</t>
  </si>
  <si>
    <t xml:space="preserve">     -ค่าเครื่องแบบนักเรียน  อัตราคนละ 300 บาท/ปี (จำนวน   35  คน)</t>
  </si>
  <si>
    <t xml:space="preserve">     -ค่ากิจกรรมพัฒนาผู้เรียน  อัตราคนละ 430 บาท/ปี (จำนวน  35  คน)</t>
  </si>
  <si>
    <t xml:space="preserve">    - ผู้ป่วย จำนวน 54  คน ๆ ละ 500 บาท ( ผู้มีสิทธิ์ 49 คน ตั้งรับ 5 คน รวม 54 คน)</t>
  </si>
  <si>
    <t xml:space="preserve">   -ช่วงอายุ 70-79 จำนวน 382 คน ๆ ละ 700 บาท</t>
  </si>
  <si>
    <t xml:space="preserve">  6.3 ค่าตอบแทนพนักงานจ้างตามภารกิจ จำนวน 6 คน แยกเป็น
</t>
  </si>
  <si>
    <t xml:space="preserve">   6.4 เงินเพิ่มค่าครองชีพชั่วคราวสำหรับพนักงานจ้างตามภารกิจ จำนวน 4 คน ๆ ละ 2,000 บาท</t>
  </si>
  <si>
    <t xml:space="preserve">   6.5 เงินประกันสังคมของพนักงานจ้าง  (ยอดรวม 1,084,800 *5%)</t>
  </si>
  <si>
    <t xml:space="preserve">   6.6 ค่าสวัสดิการสำหรับข้าราชการครูผู้ดูแลเด็ก, ครู ค.ศ. 1 (ค่าการศึกษาของบุตร)</t>
  </si>
  <si>
    <t xml:space="preserve">  6.2  เงินวิทยะฐานะ ชำนาญการ คนละ 3,500 บาท จำนวน 3 คน </t>
  </si>
  <si>
    <t xml:space="preserve">  ประเภท ค่าธรรมเนียมและค่าใช้น้ำบาดาล</t>
  </si>
  <si>
    <t xml:space="preserve">   -ช่วงอายุ 60-69 จำนวน 1,160  คน ๆ ละ 600 บาท</t>
  </si>
  <si>
    <t>8.ประเภทเงินอุดหนุนค่าใช้จ่ายสำหรับสนับสนุน ผู้สูงอายุ (เบี้ยยังชีพผู้สูงอายุ 1,764 ราย)</t>
  </si>
  <si>
    <t xml:space="preserve">   -ช่วงอายุ 80-89 จำนวน 187 คน ๆ ละ 800 บาท</t>
  </si>
  <si>
    <t xml:space="preserve">   - 90 ปี ขี้นไป  จำนวน 35 คน ๆ ละ 1,000 บาท</t>
  </si>
  <si>
    <t xml:space="preserve">     - อายุมากกว่า 18 ปี จำนวน 352 คน ๆ ละ 800 บาท </t>
  </si>
  <si>
    <t xml:space="preserve">     - อายุต่ำกว่า 18 ปี จำนวน 18 คน ๆ ละ 1,000 บาท </t>
  </si>
  <si>
    <t xml:space="preserve">   ประเภทเงินอุดหนุนสำหรับขับเคลื่อนโครงการอาสาสมัครบริบาลท้องถิ่น</t>
  </si>
  <si>
    <t xml:space="preserve"> 14. เงินอุดหนุนโครงการอาสาสมัครบริบาลท้องถิ่น แห่งละ 2 คน ๆ ล 5,000 บาท ตั้งจ่าย 12 เดือน</t>
  </si>
  <si>
    <t>รายการประมาณการรายรับ หมวดเงินอุดหนุนทั่วไป</t>
  </si>
  <si>
    <t>ประจำปีงบประมาณ พ.ศ.2564</t>
  </si>
  <si>
    <t>ร้อยละของการตั้งงบประมาณหมวดเงินอุดหนุนประจำปีงบประมาณ พ.ศ.2564</t>
  </si>
  <si>
    <t>รายได้ไม่รวมเงินอุดหนุนปีที่ผ่านมา (พ.ศ.2562)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</si>
</sst>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b/>
      <sz val="16"/>
      <color indexed="8"/>
      <name val="TH Niramit AS"/>
      <family val="0"/>
    </font>
    <font>
      <sz val="15"/>
      <color indexed="8"/>
      <name val="TH Niramit AS"/>
      <family val="0"/>
    </font>
    <font>
      <b/>
      <sz val="15"/>
      <color indexed="8"/>
      <name val="TH Niramit AS"/>
      <family val="0"/>
    </font>
    <font>
      <sz val="15"/>
      <color indexed="10"/>
      <name val="TH Niramit AS"/>
      <family val="0"/>
    </font>
    <font>
      <sz val="15"/>
      <color indexed="8"/>
      <name val="TH SarabunPSK"/>
      <family val="2"/>
    </font>
    <font>
      <b/>
      <sz val="13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10"/>
      <name val="TH SarabunPSK"/>
      <family val="2"/>
    </font>
    <font>
      <sz val="13"/>
      <color indexed="10"/>
      <name val="TH SarabunPSK"/>
      <family val="2"/>
    </font>
    <font>
      <sz val="15"/>
      <color indexed="56"/>
      <name val="TH SarabunPSK"/>
      <family val="2"/>
    </font>
    <font>
      <sz val="13"/>
      <color indexed="56"/>
      <name val="TH SarabunPSK"/>
      <family val="2"/>
    </font>
    <font>
      <b/>
      <u val="single"/>
      <sz val="13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b/>
      <sz val="16"/>
      <color theme="1"/>
      <name val="TH Niramit AS"/>
      <family val="0"/>
    </font>
    <font>
      <sz val="15"/>
      <color theme="1"/>
      <name val="TH Niramit AS"/>
      <family val="0"/>
    </font>
    <font>
      <b/>
      <sz val="15"/>
      <color theme="1"/>
      <name val="TH Niramit AS"/>
      <family val="0"/>
    </font>
    <font>
      <sz val="15"/>
      <color rgb="FFFF0000"/>
      <name val="TH Niramit AS"/>
      <family val="0"/>
    </font>
    <font>
      <sz val="15"/>
      <color theme="1"/>
      <name val="TH SarabunPSK"/>
      <family val="2"/>
    </font>
    <font>
      <b/>
      <sz val="13"/>
      <color theme="1"/>
      <name val="TH SarabunPSK"/>
      <family val="2"/>
    </font>
    <font>
      <b/>
      <u val="single"/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3"/>
      <color rgb="FFFF0000"/>
      <name val="TH SarabunPSK"/>
      <family val="2"/>
    </font>
    <font>
      <sz val="15"/>
      <color rgb="FF002060"/>
      <name val="TH SarabunPSK"/>
      <family val="2"/>
    </font>
    <font>
      <sz val="13"/>
      <color rgb="FF002060"/>
      <name val="TH SarabunPSK"/>
      <family val="2"/>
    </font>
    <font>
      <b/>
      <u val="single"/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right"/>
    </xf>
    <xf numFmtId="0" fontId="55" fillId="0" borderId="11" xfId="0" applyFont="1" applyBorder="1" applyAlignment="1">
      <alignment/>
    </xf>
    <xf numFmtId="0" fontId="56" fillId="0" borderId="12" xfId="0" applyFont="1" applyBorder="1" applyAlignment="1">
      <alignment horizontal="left"/>
    </xf>
    <xf numFmtId="43" fontId="55" fillId="0" borderId="0" xfId="0" applyNumberFormat="1" applyFont="1" applyAlignment="1">
      <alignment/>
    </xf>
    <xf numFmtId="43" fontId="57" fillId="0" borderId="0" xfId="0" applyNumberFormat="1" applyFont="1" applyAlignment="1">
      <alignment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43" fontId="55" fillId="0" borderId="11" xfId="36" applyFont="1" applyBorder="1" applyAlignment="1">
      <alignment/>
    </xf>
    <xf numFmtId="0" fontId="57" fillId="0" borderId="11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43" fontId="55" fillId="0" borderId="13" xfId="36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43" fontId="55" fillId="0" borderId="13" xfId="36" applyFont="1" applyBorder="1" applyAlignment="1">
      <alignment/>
    </xf>
    <xf numFmtId="43" fontId="55" fillId="0" borderId="14" xfId="36" applyFont="1" applyBorder="1" applyAlignment="1">
      <alignment/>
    </xf>
    <xf numFmtId="43" fontId="56" fillId="0" borderId="15" xfId="36" applyFont="1" applyBorder="1" applyAlignment="1">
      <alignment/>
    </xf>
    <xf numFmtId="43" fontId="55" fillId="0" borderId="16" xfId="36" applyFont="1" applyBorder="1" applyAlignment="1">
      <alignment/>
    </xf>
    <xf numFmtId="0" fontId="55" fillId="0" borderId="13" xfId="0" applyFont="1" applyBorder="1" applyAlignment="1">
      <alignment/>
    </xf>
    <xf numFmtId="43" fontId="55" fillId="0" borderId="11" xfId="0" applyNumberFormat="1" applyFont="1" applyBorder="1" applyAlignment="1">
      <alignment/>
    </xf>
    <xf numFmtId="43" fontId="55" fillId="0" borderId="14" xfId="0" applyNumberFormat="1" applyFont="1" applyBorder="1" applyAlignment="1">
      <alignment/>
    </xf>
    <xf numFmtId="43" fontId="56" fillId="0" borderId="10" xfId="36" applyFont="1" applyBorder="1" applyAlignment="1">
      <alignment/>
    </xf>
    <xf numFmtId="43" fontId="56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43" fontId="56" fillId="0" borderId="0" xfId="36" applyFont="1" applyAlignment="1">
      <alignment/>
    </xf>
    <xf numFmtId="43" fontId="56" fillId="0" borderId="17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57" fillId="0" borderId="13" xfId="0" applyFont="1" applyBorder="1" applyAlignment="1">
      <alignment/>
    </xf>
    <xf numFmtId="43" fontId="57" fillId="0" borderId="13" xfId="36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43" fontId="57" fillId="0" borderId="13" xfId="36" applyFont="1" applyBorder="1" applyAlignment="1">
      <alignment horizontal="center"/>
    </xf>
    <xf numFmtId="43" fontId="57" fillId="0" borderId="11" xfId="36" applyFont="1" applyBorder="1" applyAlignment="1">
      <alignment/>
    </xf>
    <xf numFmtId="43" fontId="57" fillId="0" borderId="11" xfId="0" applyNumberFormat="1" applyFont="1" applyBorder="1" applyAlignment="1">
      <alignment/>
    </xf>
    <xf numFmtId="0" fontId="57" fillId="0" borderId="11" xfId="0" applyFont="1" applyBorder="1" applyAlignment="1">
      <alignment horizontal="center"/>
    </xf>
    <xf numFmtId="43" fontId="57" fillId="0" borderId="16" xfId="36" applyFont="1" applyBorder="1" applyAlignment="1">
      <alignment/>
    </xf>
    <xf numFmtId="43" fontId="57" fillId="0" borderId="14" xfId="36" applyFont="1" applyBorder="1" applyAlignment="1">
      <alignment/>
    </xf>
    <xf numFmtId="43" fontId="57" fillId="0" borderId="14" xfId="0" applyNumberFormat="1" applyFont="1" applyBorder="1" applyAlignment="1">
      <alignment/>
    </xf>
    <xf numFmtId="0" fontId="57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right"/>
    </xf>
    <xf numFmtId="43" fontId="58" fillId="0" borderId="15" xfId="36" applyFont="1" applyBorder="1" applyAlignment="1">
      <alignment/>
    </xf>
    <xf numFmtId="43" fontId="58" fillId="0" borderId="10" xfId="36" applyFont="1" applyBorder="1" applyAlignment="1">
      <alignment/>
    </xf>
    <xf numFmtId="43" fontId="58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43" fontId="58" fillId="0" borderId="0" xfId="36" applyFont="1" applyAlignment="1">
      <alignment/>
    </xf>
    <xf numFmtId="43" fontId="58" fillId="0" borderId="17" xfId="0" applyNumberFormat="1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8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43" fontId="57" fillId="0" borderId="11" xfId="36" applyNumberFormat="1" applyFont="1" applyBorder="1" applyAlignment="1">
      <alignment/>
    </xf>
    <xf numFmtId="43" fontId="57" fillId="0" borderId="14" xfId="36" applyNumberFormat="1" applyFont="1" applyBorder="1" applyAlignment="1">
      <alignment/>
    </xf>
    <xf numFmtId="43" fontId="58" fillId="0" borderId="10" xfId="36" applyNumberFormat="1" applyFont="1" applyBorder="1" applyAlignment="1">
      <alignment/>
    </xf>
    <xf numFmtId="0" fontId="58" fillId="0" borderId="15" xfId="0" applyFont="1" applyBorder="1" applyAlignment="1">
      <alignment horizontal="center"/>
    </xf>
    <xf numFmtId="43" fontId="59" fillId="0" borderId="11" xfId="36" applyNumberFormat="1" applyFont="1" applyBorder="1" applyAlignment="1">
      <alignment/>
    </xf>
    <xf numFmtId="43" fontId="59" fillId="0" borderId="11" xfId="36" applyFont="1" applyBorder="1" applyAlignment="1">
      <alignment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 horizontal="right"/>
    </xf>
    <xf numFmtId="43" fontId="58" fillId="0" borderId="0" xfId="36" applyFont="1" applyBorder="1" applyAlignment="1">
      <alignment/>
    </xf>
    <xf numFmtId="0" fontId="60" fillId="0" borderId="0" xfId="0" applyFont="1" applyAlignment="1">
      <alignment/>
    </xf>
    <xf numFmtId="0" fontId="61" fillId="0" borderId="18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9" xfId="0" applyFont="1" applyBorder="1" applyAlignment="1">
      <alignment/>
    </xf>
    <xf numFmtId="0" fontId="63" fillId="0" borderId="12" xfId="0" applyFont="1" applyBorder="1" applyAlignment="1">
      <alignment/>
    </xf>
    <xf numFmtId="0" fontId="60" fillId="0" borderId="11" xfId="0" applyFont="1" applyBorder="1" applyAlignment="1">
      <alignment/>
    </xf>
    <xf numFmtId="43" fontId="60" fillId="0" borderId="11" xfId="36" applyFont="1" applyBorder="1" applyAlignment="1">
      <alignment/>
    </xf>
    <xf numFmtId="4" fontId="60" fillId="0" borderId="11" xfId="0" applyNumberFormat="1" applyFont="1" applyBorder="1" applyAlignment="1">
      <alignment/>
    </xf>
    <xf numFmtId="4" fontId="60" fillId="0" borderId="20" xfId="0" applyNumberFormat="1" applyFont="1" applyBorder="1" applyAlignment="1">
      <alignment/>
    </xf>
    <xf numFmtId="43" fontId="63" fillId="0" borderId="11" xfId="0" applyNumberFormat="1" applyFont="1" applyBorder="1" applyAlignment="1">
      <alignment/>
    </xf>
    <xf numFmtId="0" fontId="60" fillId="0" borderId="14" xfId="0" applyFont="1" applyBorder="1" applyAlignment="1">
      <alignment/>
    </xf>
    <xf numFmtId="43" fontId="60" fillId="0" borderId="14" xfId="36" applyFont="1" applyBorder="1" applyAlignment="1">
      <alignment/>
    </xf>
    <xf numFmtId="4" fontId="60" fillId="0" borderId="14" xfId="0" applyNumberFormat="1" applyFont="1" applyBorder="1" applyAlignment="1">
      <alignment/>
    </xf>
    <xf numFmtId="4" fontId="60" fillId="0" borderId="21" xfId="0" applyNumberFormat="1" applyFont="1" applyBorder="1" applyAlignment="1">
      <alignment/>
    </xf>
    <xf numFmtId="43" fontId="63" fillId="0" borderId="14" xfId="0" applyNumberFormat="1" applyFont="1" applyBorder="1" applyAlignment="1">
      <alignment/>
    </xf>
    <xf numFmtId="0" fontId="60" fillId="0" borderId="16" xfId="0" applyFont="1" applyBorder="1" applyAlignment="1">
      <alignment/>
    </xf>
    <xf numFmtId="43" fontId="60" fillId="0" borderId="16" xfId="36" applyFont="1" applyBorder="1" applyAlignment="1">
      <alignment/>
    </xf>
    <xf numFmtId="4" fontId="60" fillId="0" borderId="16" xfId="0" applyNumberFormat="1" applyFont="1" applyBorder="1" applyAlignment="1">
      <alignment/>
    </xf>
    <xf numFmtId="0" fontId="64" fillId="0" borderId="18" xfId="0" applyFont="1" applyBorder="1" applyAlignment="1">
      <alignment horizontal="right"/>
    </xf>
    <xf numFmtId="43" fontId="64" fillId="0" borderId="18" xfId="36" applyFont="1" applyBorder="1" applyAlignment="1">
      <alignment/>
    </xf>
    <xf numFmtId="43" fontId="63" fillId="0" borderId="18" xfId="0" applyNumberFormat="1" applyFont="1" applyBorder="1" applyAlignment="1">
      <alignment/>
    </xf>
    <xf numFmtId="43" fontId="63" fillId="0" borderId="12" xfId="0" applyNumberFormat="1" applyFont="1" applyBorder="1" applyAlignment="1">
      <alignment/>
    </xf>
    <xf numFmtId="0" fontId="60" fillId="0" borderId="13" xfId="0" applyFont="1" applyBorder="1" applyAlignment="1">
      <alignment/>
    </xf>
    <xf numFmtId="43" fontId="60" fillId="0" borderId="13" xfId="36" applyFont="1" applyBorder="1" applyAlignment="1">
      <alignment/>
    </xf>
    <xf numFmtId="43" fontId="63" fillId="0" borderId="13" xfId="0" applyNumberFormat="1" applyFont="1" applyBorder="1" applyAlignment="1">
      <alignment/>
    </xf>
    <xf numFmtId="43" fontId="63" fillId="0" borderId="16" xfId="0" applyNumberFormat="1" applyFont="1" applyBorder="1" applyAlignment="1">
      <alignment/>
    </xf>
    <xf numFmtId="43" fontId="63" fillId="0" borderId="10" xfId="0" applyNumberFormat="1" applyFont="1" applyBorder="1" applyAlignment="1">
      <alignment/>
    </xf>
    <xf numFmtId="43" fontId="63" fillId="0" borderId="22" xfId="0" applyNumberFormat="1" applyFont="1" applyBorder="1" applyAlignment="1">
      <alignment/>
    </xf>
    <xf numFmtId="0" fontId="64" fillId="0" borderId="10" xfId="0" applyFont="1" applyBorder="1" applyAlignment="1">
      <alignment horizontal="right"/>
    </xf>
    <xf numFmtId="43" fontId="64" fillId="0" borderId="10" xfId="36" applyFont="1" applyBorder="1" applyAlignment="1">
      <alignment/>
    </xf>
    <xf numFmtId="43" fontId="64" fillId="0" borderId="10" xfId="0" applyNumberFormat="1" applyFont="1" applyBorder="1" applyAlignment="1">
      <alignment/>
    </xf>
    <xf numFmtId="0" fontId="62" fillId="0" borderId="18" xfId="0" applyFont="1" applyBorder="1" applyAlignment="1">
      <alignment/>
    </xf>
    <xf numFmtId="0" fontId="60" fillId="0" borderId="18" xfId="0" applyFont="1" applyBorder="1" applyAlignment="1">
      <alignment/>
    </xf>
    <xf numFmtId="2" fontId="63" fillId="0" borderId="13" xfId="0" applyNumberFormat="1" applyFont="1" applyBorder="1" applyAlignment="1">
      <alignment/>
    </xf>
    <xf numFmtId="2" fontId="63" fillId="0" borderId="18" xfId="0" applyNumberFormat="1" applyFont="1" applyBorder="1" applyAlignment="1">
      <alignment/>
    </xf>
    <xf numFmtId="2" fontId="63" fillId="0" borderId="14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2" fillId="0" borderId="13" xfId="0" applyFont="1" applyBorder="1" applyAlignment="1">
      <alignment horizontal="left"/>
    </xf>
    <xf numFmtId="43" fontId="64" fillId="0" borderId="13" xfId="0" applyNumberFormat="1" applyFont="1" applyBorder="1" applyAlignment="1">
      <alignment/>
    </xf>
    <xf numFmtId="2" fontId="63" fillId="0" borderId="22" xfId="0" applyNumberFormat="1" applyFont="1" applyBorder="1" applyAlignment="1">
      <alignment/>
    </xf>
    <xf numFmtId="43" fontId="64" fillId="0" borderId="16" xfId="0" applyNumberFormat="1" applyFont="1" applyBorder="1" applyAlignment="1">
      <alignment/>
    </xf>
    <xf numFmtId="43" fontId="60" fillId="0" borderId="16" xfId="0" applyNumberFormat="1" applyFont="1" applyBorder="1" applyAlignment="1">
      <alignment/>
    </xf>
    <xf numFmtId="43" fontId="60" fillId="0" borderId="12" xfId="36" applyFont="1" applyBorder="1" applyAlignment="1">
      <alignment/>
    </xf>
    <xf numFmtId="43" fontId="2" fillId="0" borderId="13" xfId="36" applyFont="1" applyBorder="1" applyAlignment="1">
      <alignment/>
    </xf>
    <xf numFmtId="43" fontId="60" fillId="0" borderId="0" xfId="0" applyNumberFormat="1" applyFont="1" applyAlignment="1">
      <alignment/>
    </xf>
    <xf numFmtId="0" fontId="63" fillId="0" borderId="13" xfId="0" applyFont="1" applyBorder="1" applyAlignment="1">
      <alignment/>
    </xf>
    <xf numFmtId="43" fontId="60" fillId="0" borderId="23" xfId="36" applyNumberFormat="1" applyFont="1" applyBorder="1" applyAlignment="1">
      <alignment/>
    </xf>
    <xf numFmtId="0" fontId="60" fillId="0" borderId="15" xfId="0" applyFont="1" applyBorder="1" applyAlignment="1">
      <alignment/>
    </xf>
    <xf numFmtId="43" fontId="60" fillId="0" borderId="15" xfId="36" applyFont="1" applyBorder="1" applyAlignment="1">
      <alignment/>
    </xf>
    <xf numFmtId="43" fontId="60" fillId="0" borderId="24" xfId="36" applyNumberFormat="1" applyFont="1" applyBorder="1" applyAlignment="1">
      <alignment/>
    </xf>
    <xf numFmtId="43" fontId="63" fillId="0" borderId="15" xfId="0" applyNumberFormat="1" applyFont="1" applyBorder="1" applyAlignment="1">
      <alignment/>
    </xf>
    <xf numFmtId="43" fontId="60" fillId="0" borderId="25" xfId="36" applyNumberFormat="1" applyFont="1" applyBorder="1" applyAlignment="1">
      <alignment/>
    </xf>
    <xf numFmtId="43" fontId="64" fillId="0" borderId="26" xfId="36" applyFont="1" applyBorder="1" applyAlignment="1">
      <alignment/>
    </xf>
    <xf numFmtId="43" fontId="64" fillId="0" borderId="26" xfId="0" applyNumberFormat="1" applyFont="1" applyBorder="1" applyAlignment="1">
      <alignment/>
    </xf>
    <xf numFmtId="43" fontId="63" fillId="0" borderId="26" xfId="0" applyNumberFormat="1" applyFont="1" applyBorder="1" applyAlignment="1">
      <alignment/>
    </xf>
    <xf numFmtId="43" fontId="64" fillId="0" borderId="27" xfId="0" applyNumberFormat="1" applyFont="1" applyBorder="1" applyAlignment="1">
      <alignment/>
    </xf>
    <xf numFmtId="43" fontId="63" fillId="0" borderId="28" xfId="0" applyNumberFormat="1" applyFont="1" applyBorder="1" applyAlignment="1">
      <alignment/>
    </xf>
    <xf numFmtId="0" fontId="63" fillId="0" borderId="0" xfId="0" applyFont="1" applyAlignment="1">
      <alignment/>
    </xf>
    <xf numFmtId="0" fontId="60" fillId="0" borderId="0" xfId="0" applyFont="1" applyAlignment="1">
      <alignment horizontal="right"/>
    </xf>
    <xf numFmtId="0" fontId="63" fillId="0" borderId="0" xfId="0" applyFont="1" applyAlignment="1">
      <alignment horizontal="right"/>
    </xf>
    <xf numFmtId="43" fontId="65" fillId="0" borderId="0" xfId="0" applyNumberFormat="1" applyFont="1" applyAlignment="1">
      <alignment/>
    </xf>
    <xf numFmtId="0" fontId="66" fillId="0" borderId="0" xfId="0" applyFont="1" applyAlignment="1">
      <alignment horizontal="right"/>
    </xf>
    <xf numFmtId="43" fontId="64" fillId="0" borderId="0" xfId="0" applyNumberFormat="1" applyFont="1" applyAlignment="1">
      <alignment/>
    </xf>
    <xf numFmtId="0" fontId="61" fillId="0" borderId="0" xfId="0" applyFont="1" applyAlignment="1">
      <alignment horizontal="right"/>
    </xf>
    <xf numFmtId="0" fontId="67" fillId="0" borderId="0" xfId="0" applyFont="1" applyAlignment="1">
      <alignment/>
    </xf>
    <xf numFmtId="43" fontId="67" fillId="0" borderId="0" xfId="0" applyNumberFormat="1" applyFont="1" applyAlignment="1">
      <alignment/>
    </xf>
    <xf numFmtId="0" fontId="68" fillId="0" borderId="0" xfId="0" applyFont="1" applyAlignment="1">
      <alignment horizontal="right"/>
    </xf>
    <xf numFmtId="0" fontId="61" fillId="0" borderId="11" xfId="0" applyFont="1" applyBorder="1" applyAlignment="1">
      <alignment/>
    </xf>
    <xf numFmtId="43" fontId="61" fillId="0" borderId="11" xfId="36" applyFont="1" applyBorder="1" applyAlignment="1">
      <alignment/>
    </xf>
    <xf numFmtId="0" fontId="4" fillId="0" borderId="11" xfId="0" applyFont="1" applyBorder="1" applyAlignment="1">
      <alignment/>
    </xf>
    <xf numFmtId="43" fontId="63" fillId="0" borderId="11" xfId="36" applyFont="1" applyBorder="1" applyAlignment="1">
      <alignment/>
    </xf>
    <xf numFmtId="0" fontId="63" fillId="0" borderId="11" xfId="0" applyFont="1" applyBorder="1" applyAlignment="1">
      <alignment/>
    </xf>
    <xf numFmtId="43" fontId="63" fillId="0" borderId="0" xfId="0" applyNumberFormat="1" applyFont="1" applyAlignment="1">
      <alignment/>
    </xf>
    <xf numFmtId="0" fontId="61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43" fontId="4" fillId="0" borderId="11" xfId="36" applyFont="1" applyBorder="1" applyAlignment="1">
      <alignment/>
    </xf>
    <xf numFmtId="43" fontId="5" fillId="0" borderId="11" xfId="36" applyFont="1" applyBorder="1" applyAlignment="1">
      <alignment/>
    </xf>
    <xf numFmtId="0" fontId="5" fillId="0" borderId="11" xfId="0" applyFont="1" applyBorder="1" applyAlignment="1">
      <alignment horizontal="left"/>
    </xf>
    <xf numFmtId="0" fontId="61" fillId="0" borderId="10" xfId="0" applyFont="1" applyBorder="1" applyAlignment="1">
      <alignment horizontal="right"/>
    </xf>
    <xf numFmtId="43" fontId="61" fillId="0" borderId="10" xfId="36" applyFont="1" applyBorder="1" applyAlignment="1">
      <alignment/>
    </xf>
    <xf numFmtId="43" fontId="63" fillId="0" borderId="0" xfId="36" applyFont="1" applyAlignment="1">
      <alignment/>
    </xf>
    <xf numFmtId="43" fontId="60" fillId="0" borderId="22" xfId="36" applyFont="1" applyBorder="1" applyAlignment="1">
      <alignment/>
    </xf>
    <xf numFmtId="43" fontId="64" fillId="0" borderId="22" xfId="0" applyNumberFormat="1" applyFont="1" applyBorder="1" applyAlignment="1">
      <alignment/>
    </xf>
    <xf numFmtId="43" fontId="60" fillId="0" borderId="14" xfId="0" applyNumberFormat="1" applyFont="1" applyBorder="1" applyAlignment="1">
      <alignment/>
    </xf>
    <xf numFmtId="0" fontId="60" fillId="0" borderId="22" xfId="0" applyFont="1" applyBorder="1" applyAlignment="1">
      <alignment/>
    </xf>
    <xf numFmtId="188" fontId="60" fillId="0" borderId="11" xfId="36" applyNumberFormat="1" applyFont="1" applyBorder="1" applyAlignment="1">
      <alignment/>
    </xf>
    <xf numFmtId="188" fontId="60" fillId="0" borderId="14" xfId="36" applyNumberFormat="1" applyFont="1" applyBorder="1" applyAlignment="1">
      <alignment/>
    </xf>
    <xf numFmtId="188" fontId="60" fillId="0" borderId="16" xfId="36" applyNumberFormat="1" applyFont="1" applyBorder="1" applyAlignment="1">
      <alignment/>
    </xf>
    <xf numFmtId="188" fontId="64" fillId="0" borderId="18" xfId="0" applyNumberFormat="1" applyFont="1" applyBorder="1" applyAlignment="1">
      <alignment/>
    </xf>
    <xf numFmtId="188" fontId="60" fillId="0" borderId="12" xfId="0" applyNumberFormat="1" applyFont="1" applyBorder="1" applyAlignment="1">
      <alignment/>
    </xf>
    <xf numFmtId="188" fontId="60" fillId="0" borderId="13" xfId="36" applyNumberFormat="1" applyFont="1" applyBorder="1" applyAlignment="1">
      <alignment/>
    </xf>
    <xf numFmtId="188" fontId="60" fillId="0" borderId="12" xfId="36" applyNumberFormat="1" applyFont="1" applyBorder="1" applyAlignment="1">
      <alignment/>
    </xf>
    <xf numFmtId="188" fontId="64" fillId="0" borderId="10" xfId="0" applyNumberFormat="1" applyFont="1" applyBorder="1" applyAlignment="1">
      <alignment/>
    </xf>
    <xf numFmtId="188" fontId="60" fillId="0" borderId="18" xfId="0" applyNumberFormat="1" applyFont="1" applyBorder="1" applyAlignment="1">
      <alignment/>
    </xf>
    <xf numFmtId="188" fontId="60" fillId="0" borderId="22" xfId="36" applyNumberFormat="1" applyFont="1" applyBorder="1" applyAlignment="1">
      <alignment/>
    </xf>
    <xf numFmtId="188" fontId="64" fillId="0" borderId="13" xfId="0" applyNumberFormat="1" applyFont="1" applyBorder="1" applyAlignment="1">
      <alignment/>
    </xf>
    <xf numFmtId="188" fontId="60" fillId="0" borderId="16" xfId="0" applyNumberFormat="1" applyFont="1" applyBorder="1" applyAlignment="1">
      <alignment/>
    </xf>
    <xf numFmtId="188" fontId="2" fillId="0" borderId="11" xfId="36" applyNumberFormat="1" applyFont="1" applyBorder="1" applyAlignment="1">
      <alignment/>
    </xf>
    <xf numFmtId="188" fontId="2" fillId="0" borderId="16" xfId="36" applyNumberFormat="1" applyFont="1" applyBorder="1" applyAlignment="1">
      <alignment/>
    </xf>
    <xf numFmtId="188" fontId="2" fillId="0" borderId="12" xfId="36" applyNumberFormat="1" applyFont="1" applyBorder="1" applyAlignment="1">
      <alignment/>
    </xf>
    <xf numFmtId="188" fontId="2" fillId="0" borderId="13" xfId="36" applyNumberFormat="1" applyFont="1" applyBorder="1" applyAlignment="1">
      <alignment/>
    </xf>
    <xf numFmtId="188" fontId="60" fillId="0" borderId="23" xfId="36" applyNumberFormat="1" applyFont="1" applyBorder="1" applyAlignment="1">
      <alignment/>
    </xf>
    <xf numFmtId="188" fontId="60" fillId="0" borderId="0" xfId="36" applyNumberFormat="1" applyFont="1" applyAlignment="1">
      <alignment/>
    </xf>
    <xf numFmtId="188" fontId="60" fillId="0" borderId="24" xfId="36" applyNumberFormat="1" applyFont="1" applyBorder="1" applyAlignment="1">
      <alignment/>
    </xf>
    <xf numFmtId="188" fontId="60" fillId="0" borderId="25" xfId="36" applyNumberFormat="1" applyFont="1" applyBorder="1" applyAlignment="1">
      <alignment/>
    </xf>
    <xf numFmtId="188" fontId="64" fillId="0" borderId="26" xfId="0" applyNumberFormat="1" applyFont="1" applyBorder="1" applyAlignment="1">
      <alignment/>
    </xf>
    <xf numFmtId="188" fontId="3" fillId="0" borderId="27" xfId="0" applyNumberFormat="1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5" xfId="36" applyFont="1" applyBorder="1" applyAlignment="1">
      <alignment/>
    </xf>
    <xf numFmtId="43" fontId="2" fillId="0" borderId="24" xfId="36" applyNumberFormat="1" applyFont="1" applyBorder="1" applyAlignment="1">
      <alignment/>
    </xf>
    <xf numFmtId="43" fontId="4" fillId="0" borderId="15" xfId="0" applyNumberFormat="1" applyFont="1" applyBorder="1" applyAlignment="1">
      <alignment/>
    </xf>
    <xf numFmtId="188" fontId="2" fillId="0" borderId="24" xfId="36" applyNumberFormat="1" applyFont="1" applyBorder="1" applyAlignment="1">
      <alignment/>
    </xf>
    <xf numFmtId="188" fontId="63" fillId="0" borderId="0" xfId="36" applyNumberFormat="1" applyFont="1" applyAlignment="1">
      <alignment/>
    </xf>
    <xf numFmtId="0" fontId="4" fillId="0" borderId="11" xfId="0" applyFont="1" applyBorder="1" applyAlignment="1">
      <alignment horizontal="left"/>
    </xf>
    <xf numFmtId="43" fontId="5" fillId="0" borderId="14" xfId="36" applyFont="1" applyBorder="1" applyAlignment="1">
      <alignment/>
    </xf>
    <xf numFmtId="188" fontId="61" fillId="0" borderId="10" xfId="36" applyNumberFormat="1" applyFont="1" applyBorder="1" applyAlignment="1">
      <alignment/>
    </xf>
    <xf numFmtId="188" fontId="61" fillId="0" borderId="23" xfId="36" applyNumberFormat="1" applyFont="1" applyBorder="1" applyAlignment="1">
      <alignment/>
    </xf>
    <xf numFmtId="188" fontId="61" fillId="0" borderId="29" xfId="36" applyNumberFormat="1" applyFont="1" applyBorder="1" applyAlignment="1">
      <alignment/>
    </xf>
    <xf numFmtId="0" fontId="61" fillId="0" borderId="13" xfId="0" applyFont="1" applyBorder="1" applyAlignment="1">
      <alignment/>
    </xf>
    <xf numFmtId="43" fontId="61" fillId="0" borderId="13" xfId="36" applyFont="1" applyBorder="1" applyAlignment="1">
      <alignment/>
    </xf>
    <xf numFmtId="188" fontId="61" fillId="0" borderId="25" xfId="36" applyNumberFormat="1" applyFont="1" applyBorder="1" applyAlignment="1">
      <alignment/>
    </xf>
    <xf numFmtId="0" fontId="69" fillId="0" borderId="10" xfId="0" applyFont="1" applyBorder="1" applyAlignment="1">
      <alignment/>
    </xf>
    <xf numFmtId="188" fontId="63" fillId="0" borderId="10" xfId="36" applyNumberFormat="1" applyFont="1" applyBorder="1" applyAlignment="1">
      <alignment/>
    </xf>
    <xf numFmtId="0" fontId="60" fillId="0" borderId="0" xfId="0" applyFont="1" applyAlignment="1">
      <alignment horizontal="left"/>
    </xf>
    <xf numFmtId="4" fontId="60" fillId="0" borderId="0" xfId="0" applyNumberFormat="1" applyFont="1" applyAlignment="1">
      <alignment horizontal="left"/>
    </xf>
    <xf numFmtId="43" fontId="60" fillId="0" borderId="11" xfId="36" applyFont="1" applyBorder="1" applyAlignment="1">
      <alignment horizontal="left"/>
    </xf>
    <xf numFmtId="43" fontId="60" fillId="0" borderId="13" xfId="36" applyFont="1" applyBorder="1" applyAlignment="1">
      <alignment horizontal="left"/>
    </xf>
    <xf numFmtId="43" fontId="60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1" fillId="0" borderId="30" xfId="0" applyFont="1" applyBorder="1" applyAlignment="1">
      <alignment/>
    </xf>
    <xf numFmtId="0" fontId="61" fillId="0" borderId="1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18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43" fontId="70" fillId="0" borderId="10" xfId="36" applyFont="1" applyBorder="1" applyAlignment="1">
      <alignment/>
    </xf>
    <xf numFmtId="0" fontId="70" fillId="0" borderId="10" xfId="0" applyFont="1" applyBorder="1" applyAlignment="1">
      <alignment/>
    </xf>
    <xf numFmtId="188" fontId="70" fillId="0" borderId="10" xfId="36" applyNumberFormat="1" applyFont="1" applyBorder="1" applyAlignment="1">
      <alignment/>
    </xf>
    <xf numFmtId="0" fontId="71" fillId="0" borderId="10" xfId="0" applyFont="1" applyBorder="1" applyAlignment="1">
      <alignment horizontal="right"/>
    </xf>
    <xf numFmtId="188" fontId="71" fillId="0" borderId="10" xfId="36" applyNumberFormat="1" applyFont="1" applyBorder="1" applyAlignment="1">
      <alignment/>
    </xf>
    <xf numFmtId="2" fontId="71" fillId="0" borderId="10" xfId="0" applyNumberFormat="1" applyFont="1" applyBorder="1" applyAlignment="1">
      <alignment/>
    </xf>
    <xf numFmtId="0" fontId="71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64" fillId="0" borderId="31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18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3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3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3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1">
      <selection activeCell="H78" sqref="H78"/>
    </sheetView>
  </sheetViews>
  <sheetFormatPr defaultColWidth="9.140625" defaultRowHeight="15"/>
  <cols>
    <col min="1" max="1" width="56.28125" style="66" customWidth="1"/>
    <col min="2" max="2" width="14.7109375" style="66" customWidth="1"/>
    <col min="3" max="3" width="14.140625" style="66" customWidth="1"/>
    <col min="4" max="5" width="14.421875" style="66" customWidth="1"/>
    <col min="6" max="6" width="7.140625" style="125" customWidth="1"/>
    <col min="7" max="7" width="14.421875" style="66" customWidth="1"/>
    <col min="8" max="8" width="19.421875" style="191" bestFit="1" customWidth="1"/>
    <col min="9" max="9" width="9.421875" style="66" bestFit="1" customWidth="1"/>
    <col min="10" max="16384" width="9.00390625" style="66" customWidth="1"/>
  </cols>
  <sheetData>
    <row r="1" spans="1:7" ht="23.25">
      <c r="A1" s="217" t="s">
        <v>4</v>
      </c>
      <c r="B1" s="217"/>
      <c r="C1" s="217"/>
      <c r="D1" s="217"/>
      <c r="E1" s="217"/>
      <c r="F1" s="217"/>
      <c r="G1" s="217"/>
    </row>
    <row r="2" spans="1:7" ht="23.25">
      <c r="A2" s="217" t="s">
        <v>154</v>
      </c>
      <c r="B2" s="217"/>
      <c r="C2" s="217"/>
      <c r="D2" s="217"/>
      <c r="E2" s="217"/>
      <c r="F2" s="217"/>
      <c r="G2" s="217"/>
    </row>
    <row r="3" spans="1:7" ht="23.25">
      <c r="A3" s="217" t="s">
        <v>0</v>
      </c>
      <c r="B3" s="217"/>
      <c r="C3" s="217"/>
      <c r="D3" s="217"/>
      <c r="E3" s="217"/>
      <c r="F3" s="217"/>
      <c r="G3" s="217"/>
    </row>
    <row r="4" spans="1:7" ht="23.25">
      <c r="A4" s="218" t="s">
        <v>1</v>
      </c>
      <c r="B4" s="218"/>
      <c r="C4" s="218"/>
      <c r="D4" s="218"/>
      <c r="E4" s="218"/>
      <c r="F4" s="218"/>
      <c r="G4" s="218"/>
    </row>
    <row r="5" spans="1:7" ht="23.25">
      <c r="A5" s="219" t="s">
        <v>2</v>
      </c>
      <c r="B5" s="214" t="s">
        <v>123</v>
      </c>
      <c r="C5" s="215"/>
      <c r="D5" s="215"/>
      <c r="E5" s="216"/>
      <c r="F5" s="214" t="s">
        <v>3</v>
      </c>
      <c r="G5" s="216"/>
    </row>
    <row r="6" spans="1:7" ht="23.25">
      <c r="A6" s="220"/>
      <c r="B6" s="212" t="s">
        <v>87</v>
      </c>
      <c r="C6" s="222" t="s">
        <v>59</v>
      </c>
      <c r="D6" s="212" t="s">
        <v>88</v>
      </c>
      <c r="E6" s="212" t="s">
        <v>155</v>
      </c>
      <c r="F6" s="67" t="s">
        <v>56</v>
      </c>
      <c r="G6" s="222" t="s">
        <v>156</v>
      </c>
    </row>
    <row r="7" spans="1:7" ht="18" customHeight="1">
      <c r="A7" s="221"/>
      <c r="B7" s="213"/>
      <c r="C7" s="223"/>
      <c r="D7" s="213"/>
      <c r="E7" s="213"/>
      <c r="F7" s="68" t="s">
        <v>57</v>
      </c>
      <c r="G7" s="223"/>
    </row>
    <row r="8" spans="1:7" ht="23.25">
      <c r="A8" s="69" t="s">
        <v>5</v>
      </c>
      <c r="B8" s="70"/>
      <c r="C8" s="70"/>
      <c r="D8" s="70"/>
      <c r="E8" s="71"/>
      <c r="F8" s="72"/>
      <c r="G8" s="70"/>
    </row>
    <row r="9" spans="1:7" ht="23.25">
      <c r="A9" s="78" t="s">
        <v>149</v>
      </c>
      <c r="B9" s="79"/>
      <c r="C9" s="80"/>
      <c r="D9" s="80"/>
      <c r="E9" s="81"/>
      <c r="F9" s="82">
        <v>0</v>
      </c>
      <c r="G9" s="154">
        <v>100000</v>
      </c>
    </row>
    <row r="10" spans="1:7" ht="23.25">
      <c r="A10" s="73" t="s">
        <v>6</v>
      </c>
      <c r="B10" s="74">
        <v>995188.5</v>
      </c>
      <c r="C10" s="75">
        <v>956115.98</v>
      </c>
      <c r="D10" s="75">
        <v>1012341.7</v>
      </c>
      <c r="E10" s="76">
        <v>1045487.76</v>
      </c>
      <c r="F10" s="77">
        <v>0</v>
      </c>
      <c r="G10" s="153">
        <v>100</v>
      </c>
    </row>
    <row r="11" spans="1:7" ht="23.25">
      <c r="A11" s="73" t="s">
        <v>7</v>
      </c>
      <c r="B11" s="74">
        <v>35792</v>
      </c>
      <c r="C11" s="75">
        <v>43941.93</v>
      </c>
      <c r="D11" s="75">
        <v>39566.55</v>
      </c>
      <c r="E11" s="76">
        <v>42021.35</v>
      </c>
      <c r="F11" s="77">
        <v>0</v>
      </c>
      <c r="G11" s="153">
        <v>100</v>
      </c>
    </row>
    <row r="12" spans="1:7" ht="23.25">
      <c r="A12" s="83" t="s">
        <v>8</v>
      </c>
      <c r="B12" s="84">
        <v>83293</v>
      </c>
      <c r="C12" s="85">
        <v>107384</v>
      </c>
      <c r="D12" s="85">
        <v>126584</v>
      </c>
      <c r="E12" s="81">
        <v>123340</v>
      </c>
      <c r="F12" s="82">
        <f aca="true" t="shared" si="0" ref="F12:F20">(G12-D12)/G12</f>
        <v>-0.026634225466342254</v>
      </c>
      <c r="G12" s="155">
        <v>123300</v>
      </c>
    </row>
    <row r="13" spans="1:8" ht="23.25">
      <c r="A13" s="86" t="s">
        <v>9</v>
      </c>
      <c r="B13" s="87">
        <f>SUM(B10:B12)</f>
        <v>1114273.5</v>
      </c>
      <c r="C13" s="87">
        <f>SUM(C10:C12)</f>
        <v>1107441.9100000001</v>
      </c>
      <c r="D13" s="87">
        <f>SUM(D10:D12)</f>
        <v>1178492.25</v>
      </c>
      <c r="E13" s="87">
        <f>SUM(E10:E12)</f>
        <v>1210849.11</v>
      </c>
      <c r="F13" s="88">
        <f t="shared" si="0"/>
        <v>-4.2728959731543625</v>
      </c>
      <c r="G13" s="156">
        <f>SUM(G9:G12)</f>
        <v>223500</v>
      </c>
      <c r="H13" s="192"/>
    </row>
    <row r="14" spans="1:7" ht="23.25">
      <c r="A14" s="69" t="s">
        <v>10</v>
      </c>
      <c r="B14" s="70"/>
      <c r="C14" s="70"/>
      <c r="D14" s="70"/>
      <c r="E14" s="70"/>
      <c r="F14" s="89"/>
      <c r="G14" s="157"/>
    </row>
    <row r="15" spans="1:8" ht="23.25">
      <c r="A15" s="73" t="s">
        <v>55</v>
      </c>
      <c r="B15" s="74">
        <v>4345.6</v>
      </c>
      <c r="C15" s="74">
        <v>3880</v>
      </c>
      <c r="D15" s="74">
        <v>4248.6</v>
      </c>
      <c r="E15" s="74">
        <v>4316.5</v>
      </c>
      <c r="F15" s="77">
        <f t="shared" si="0"/>
        <v>0.011953488372092938</v>
      </c>
      <c r="G15" s="153">
        <v>4300</v>
      </c>
      <c r="H15" s="192"/>
    </row>
    <row r="16" spans="1:7" ht="23.25">
      <c r="A16" s="73" t="s">
        <v>52</v>
      </c>
      <c r="B16" s="74">
        <v>340</v>
      </c>
      <c r="C16" s="74">
        <v>0</v>
      </c>
      <c r="D16" s="74">
        <v>320</v>
      </c>
      <c r="E16" s="74">
        <v>320</v>
      </c>
      <c r="F16" s="77">
        <f t="shared" si="0"/>
        <v>-0.06666666666666667</v>
      </c>
      <c r="G16" s="153">
        <v>300</v>
      </c>
    </row>
    <row r="17" spans="1:8" ht="23.25">
      <c r="A17" s="73" t="s">
        <v>51</v>
      </c>
      <c r="B17" s="74">
        <v>5450</v>
      </c>
      <c r="C17" s="74">
        <v>3788</v>
      </c>
      <c r="D17" s="74">
        <v>4393</v>
      </c>
      <c r="E17" s="74">
        <v>5289</v>
      </c>
      <c r="F17" s="77">
        <f t="shared" si="0"/>
        <v>0.17113207547169812</v>
      </c>
      <c r="G17" s="153">
        <v>5300</v>
      </c>
      <c r="H17" s="192"/>
    </row>
    <row r="18" spans="1:7" ht="23.25">
      <c r="A18" s="78" t="s">
        <v>11</v>
      </c>
      <c r="B18" s="79">
        <v>0</v>
      </c>
      <c r="C18" s="79">
        <v>0</v>
      </c>
      <c r="D18" s="79">
        <v>300</v>
      </c>
      <c r="E18" s="79">
        <v>0</v>
      </c>
      <c r="F18" s="82">
        <f t="shared" si="0"/>
        <v>0</v>
      </c>
      <c r="G18" s="154">
        <v>300</v>
      </c>
    </row>
    <row r="19" spans="1:7" ht="23.25">
      <c r="A19" s="90" t="s">
        <v>12</v>
      </c>
      <c r="B19" s="91"/>
      <c r="C19" s="91"/>
      <c r="D19" s="91"/>
      <c r="E19" s="91"/>
      <c r="F19" s="92"/>
      <c r="G19" s="158"/>
    </row>
    <row r="20" spans="1:7" ht="23.25">
      <c r="A20" s="73" t="s">
        <v>13</v>
      </c>
      <c r="B20" s="74">
        <v>540</v>
      </c>
      <c r="C20" s="74">
        <v>370</v>
      </c>
      <c r="D20" s="74">
        <v>510</v>
      </c>
      <c r="E20" s="74">
        <v>370</v>
      </c>
      <c r="F20" s="77">
        <f t="shared" si="0"/>
        <v>-0.275</v>
      </c>
      <c r="G20" s="153">
        <v>400</v>
      </c>
    </row>
    <row r="21" spans="1:7" ht="23.25">
      <c r="A21" s="73" t="s">
        <v>14</v>
      </c>
      <c r="B21" s="74"/>
      <c r="C21" s="74"/>
      <c r="D21" s="74"/>
      <c r="E21" s="74"/>
      <c r="F21" s="77"/>
      <c r="G21" s="153"/>
    </row>
    <row r="22" spans="1:8" ht="23.25">
      <c r="A22" s="73" t="s">
        <v>15</v>
      </c>
      <c r="B22" s="74">
        <v>1970</v>
      </c>
      <c r="C22" s="74">
        <v>1690</v>
      </c>
      <c r="D22" s="74">
        <v>2210</v>
      </c>
      <c r="E22" s="74">
        <v>1690</v>
      </c>
      <c r="F22" s="77">
        <f>(G22-D22)/G22</f>
        <v>-0.3</v>
      </c>
      <c r="G22" s="153">
        <v>1700</v>
      </c>
      <c r="H22" s="192"/>
    </row>
    <row r="23" spans="1:8" ht="23.25">
      <c r="A23" s="83" t="s">
        <v>150</v>
      </c>
      <c r="B23" s="84">
        <v>0</v>
      </c>
      <c r="C23" s="84">
        <v>0</v>
      </c>
      <c r="D23" s="84">
        <v>0</v>
      </c>
      <c r="E23" s="84">
        <v>0</v>
      </c>
      <c r="F23" s="93">
        <v>0</v>
      </c>
      <c r="G23" s="155">
        <v>1500</v>
      </c>
      <c r="H23" s="192">
        <v>17</v>
      </c>
    </row>
    <row r="24" spans="1:8" ht="23.25">
      <c r="A24" s="70" t="s">
        <v>16</v>
      </c>
      <c r="B24" s="110">
        <v>7500</v>
      </c>
      <c r="C24" s="110">
        <v>4290</v>
      </c>
      <c r="D24" s="110">
        <v>6340</v>
      </c>
      <c r="E24" s="110">
        <v>3250</v>
      </c>
      <c r="F24" s="89">
        <f aca="true" t="shared" si="1" ref="F24:F34">(G24-D24)/G24</f>
        <v>-0.98125</v>
      </c>
      <c r="G24" s="159">
        <v>3200</v>
      </c>
      <c r="H24" s="192"/>
    </row>
    <row r="25" spans="1:8" ht="23.25">
      <c r="A25" s="90" t="s">
        <v>17</v>
      </c>
      <c r="B25" s="91">
        <v>30400</v>
      </c>
      <c r="C25" s="91">
        <v>26700</v>
      </c>
      <c r="D25" s="91">
        <v>28800</v>
      </c>
      <c r="E25" s="91">
        <v>29600</v>
      </c>
      <c r="F25" s="92">
        <f t="shared" si="1"/>
        <v>0.02702702702702703</v>
      </c>
      <c r="G25" s="158">
        <v>29600</v>
      </c>
      <c r="H25" s="192"/>
    </row>
    <row r="26" spans="1:8" ht="23.25">
      <c r="A26" s="73" t="s">
        <v>18</v>
      </c>
      <c r="B26" s="74">
        <v>186962</v>
      </c>
      <c r="C26" s="74">
        <v>34261</v>
      </c>
      <c r="D26" s="74">
        <v>30081</v>
      </c>
      <c r="E26" s="91">
        <v>80853</v>
      </c>
      <c r="F26" s="92">
        <f t="shared" si="1"/>
        <v>0.619709228824273</v>
      </c>
      <c r="G26" s="153">
        <v>79100</v>
      </c>
      <c r="H26" s="192"/>
    </row>
    <row r="27" spans="1:7" ht="23.25">
      <c r="A27" s="73" t="s">
        <v>19</v>
      </c>
      <c r="B27" s="74">
        <v>0</v>
      </c>
      <c r="C27" s="74">
        <v>0</v>
      </c>
      <c r="D27" s="74">
        <v>0</v>
      </c>
      <c r="E27" s="91">
        <v>0</v>
      </c>
      <c r="F27" s="92">
        <v>0</v>
      </c>
      <c r="G27" s="153">
        <v>100</v>
      </c>
    </row>
    <row r="28" spans="1:8" ht="23.25">
      <c r="A28" s="78" t="s">
        <v>23</v>
      </c>
      <c r="B28" s="79">
        <v>57750</v>
      </c>
      <c r="C28" s="79">
        <v>50250</v>
      </c>
      <c r="D28" s="79">
        <v>32750</v>
      </c>
      <c r="E28" s="79">
        <v>36750</v>
      </c>
      <c r="F28" s="82">
        <f t="shared" si="1"/>
        <v>0.10762942779291552</v>
      </c>
      <c r="G28" s="154">
        <v>36700</v>
      </c>
      <c r="H28" s="192"/>
    </row>
    <row r="29" spans="1:7" ht="23.25">
      <c r="A29" s="90" t="s">
        <v>24</v>
      </c>
      <c r="B29" s="91"/>
      <c r="C29" s="91"/>
      <c r="D29" s="91"/>
      <c r="E29" s="91"/>
      <c r="F29" s="92"/>
      <c r="G29" s="158"/>
    </row>
    <row r="30" spans="1:7" ht="23.25">
      <c r="A30" s="78" t="s">
        <v>20</v>
      </c>
      <c r="B30" s="79">
        <v>300</v>
      </c>
      <c r="C30" s="79">
        <v>0</v>
      </c>
      <c r="D30" s="79">
        <v>0</v>
      </c>
      <c r="E30" s="79">
        <v>300</v>
      </c>
      <c r="F30" s="82">
        <f t="shared" si="1"/>
        <v>1</v>
      </c>
      <c r="G30" s="154">
        <v>300</v>
      </c>
    </row>
    <row r="31" spans="1:7" ht="23.25">
      <c r="A31" s="90" t="s">
        <v>21</v>
      </c>
      <c r="B31" s="91"/>
      <c r="C31" s="91"/>
      <c r="D31" s="91"/>
      <c r="E31" s="91"/>
      <c r="F31" s="92"/>
      <c r="G31" s="158"/>
    </row>
    <row r="32" spans="1:8" ht="23.25">
      <c r="A32" s="73" t="s">
        <v>22</v>
      </c>
      <c r="B32" s="74">
        <v>2000</v>
      </c>
      <c r="C32" s="74">
        <v>0</v>
      </c>
      <c r="D32" s="74">
        <v>2000</v>
      </c>
      <c r="E32" s="91">
        <v>2000</v>
      </c>
      <c r="F32" s="92">
        <f t="shared" si="1"/>
        <v>0</v>
      </c>
      <c r="G32" s="153">
        <v>2000</v>
      </c>
      <c r="H32" s="192"/>
    </row>
    <row r="33" spans="1:7" ht="23.25">
      <c r="A33" s="73" t="s">
        <v>50</v>
      </c>
      <c r="B33" s="74">
        <v>1230</v>
      </c>
      <c r="C33" s="74">
        <v>940</v>
      </c>
      <c r="D33" s="74">
        <v>1040</v>
      </c>
      <c r="E33" s="91">
        <v>910</v>
      </c>
      <c r="F33" s="92">
        <f t="shared" si="1"/>
        <v>-0.15555555555555556</v>
      </c>
      <c r="G33" s="153">
        <v>900</v>
      </c>
    </row>
    <row r="34" spans="1:8" ht="23.25">
      <c r="A34" s="83" t="s">
        <v>25</v>
      </c>
      <c r="B34" s="84">
        <v>900</v>
      </c>
      <c r="C34" s="84">
        <v>0</v>
      </c>
      <c r="D34" s="84">
        <v>0</v>
      </c>
      <c r="E34" s="149">
        <v>500</v>
      </c>
      <c r="F34" s="95">
        <f t="shared" si="1"/>
        <v>1</v>
      </c>
      <c r="G34" s="155">
        <v>500</v>
      </c>
      <c r="H34" s="192"/>
    </row>
    <row r="35" spans="1:8" ht="23.25">
      <c r="A35" s="96" t="s">
        <v>26</v>
      </c>
      <c r="B35" s="97">
        <f>SUM(B15:B34)</f>
        <v>299687.6</v>
      </c>
      <c r="C35" s="98">
        <f>C15+C16+C17+C18+C20+C22+C24+C25+C26+C27+C28+C30+C32+C33+C34</f>
        <v>126169</v>
      </c>
      <c r="D35" s="98">
        <f>D15+D16+D17+D18+D20+D22+D24+D25+D26+D27+D28+D30+D32+D33+D34</f>
        <v>112992.6</v>
      </c>
      <c r="E35" s="98">
        <f>E15+E16+E17+E18+E20+E22+E24+E25+E26+E27+E28+E30+E32+E33+E34</f>
        <v>166148.5</v>
      </c>
      <c r="F35" s="94">
        <f>(G35-D35)/G35</f>
        <v>0.3201407942238267</v>
      </c>
      <c r="G35" s="160">
        <f>SUM(G15:G34)</f>
        <v>166200</v>
      </c>
      <c r="H35" s="192"/>
    </row>
    <row r="36" spans="1:7" ht="23.25">
      <c r="A36" s="99" t="s">
        <v>27</v>
      </c>
      <c r="B36" s="100"/>
      <c r="C36" s="100"/>
      <c r="D36" s="100"/>
      <c r="E36" s="100"/>
      <c r="F36" s="88"/>
      <c r="G36" s="161"/>
    </row>
    <row r="37" spans="1:7" ht="23.25">
      <c r="A37" s="90" t="s">
        <v>28</v>
      </c>
      <c r="B37" s="91">
        <v>1000</v>
      </c>
      <c r="C37" s="91">
        <v>0</v>
      </c>
      <c r="D37" s="91">
        <v>0</v>
      </c>
      <c r="E37" s="91">
        <v>0</v>
      </c>
      <c r="F37" s="101">
        <f>(G37-D37)*100/G37</f>
        <v>100</v>
      </c>
      <c r="G37" s="158">
        <v>100</v>
      </c>
    </row>
    <row r="38" spans="1:8" ht="23.25">
      <c r="A38" s="152" t="s">
        <v>29</v>
      </c>
      <c r="B38" s="149">
        <v>242466.59</v>
      </c>
      <c r="C38" s="149">
        <v>200975.81</v>
      </c>
      <c r="D38" s="149">
        <v>206757.54</v>
      </c>
      <c r="E38" s="149">
        <v>224571.36</v>
      </c>
      <c r="F38" s="107">
        <f>(G38-D38)*100/G38</f>
        <v>7.903100222717145</v>
      </c>
      <c r="G38" s="162">
        <v>224500</v>
      </c>
      <c r="H38" s="192"/>
    </row>
    <row r="39" spans="1:8" ht="23.25">
      <c r="A39" s="96" t="s">
        <v>30</v>
      </c>
      <c r="B39" s="98">
        <f>SUM(B37:B38)</f>
        <v>243466.59</v>
      </c>
      <c r="C39" s="98">
        <f>SUM(C37:C38)</f>
        <v>200975.81</v>
      </c>
      <c r="D39" s="98">
        <v>206767.54</v>
      </c>
      <c r="E39" s="98">
        <f>SUM(E38)</f>
        <v>224571.36</v>
      </c>
      <c r="F39" s="104">
        <f aca="true" t="shared" si="2" ref="F39:F48">(G39-D39)*100/G39</f>
        <v>7.939652715939443</v>
      </c>
      <c r="G39" s="160">
        <f>SUM(G37:G38)</f>
        <v>224600</v>
      </c>
      <c r="H39" s="192">
        <v>18</v>
      </c>
    </row>
    <row r="40" spans="1:7" ht="23.25">
      <c r="A40" s="69" t="s">
        <v>31</v>
      </c>
      <c r="B40" s="70"/>
      <c r="C40" s="70"/>
      <c r="D40" s="70"/>
      <c r="E40" s="100"/>
      <c r="F40" s="102"/>
      <c r="G40" s="157"/>
    </row>
    <row r="41" spans="1:8" ht="23.25">
      <c r="A41" s="73" t="s">
        <v>32</v>
      </c>
      <c r="B41" s="74">
        <v>21500</v>
      </c>
      <c r="C41" s="74">
        <v>26000</v>
      </c>
      <c r="D41" s="74">
        <v>10500</v>
      </c>
      <c r="E41" s="79">
        <v>17500</v>
      </c>
      <c r="F41" s="103">
        <f t="shared" si="2"/>
        <v>40</v>
      </c>
      <c r="G41" s="153">
        <v>17500</v>
      </c>
      <c r="H41" s="192"/>
    </row>
    <row r="42" spans="1:7" ht="23.25">
      <c r="A42" s="73" t="s">
        <v>33</v>
      </c>
      <c r="B42" s="74">
        <v>154</v>
      </c>
      <c r="C42" s="74">
        <v>0</v>
      </c>
      <c r="D42" s="74">
        <v>0</v>
      </c>
      <c r="E42" s="79">
        <v>94</v>
      </c>
      <c r="F42" s="103">
        <f t="shared" si="2"/>
        <v>100</v>
      </c>
      <c r="G42" s="153">
        <v>100</v>
      </c>
    </row>
    <row r="43" spans="1:7" ht="23.25">
      <c r="A43" s="73" t="s">
        <v>34</v>
      </c>
      <c r="B43" s="74">
        <v>111537</v>
      </c>
      <c r="C43" s="74">
        <v>97658</v>
      </c>
      <c r="D43" s="74">
        <v>147833</v>
      </c>
      <c r="E43" s="79">
        <v>141907.9</v>
      </c>
      <c r="F43" s="103">
        <f t="shared" si="2"/>
        <v>-4.181113460183227</v>
      </c>
      <c r="G43" s="153">
        <v>141900</v>
      </c>
    </row>
    <row r="44" spans="1:8" ht="23.25">
      <c r="A44" s="83"/>
      <c r="B44" s="84"/>
      <c r="C44" s="84"/>
      <c r="D44" s="84"/>
      <c r="E44" s="79"/>
      <c r="F44" s="103"/>
      <c r="G44" s="155"/>
      <c r="H44" s="192"/>
    </row>
    <row r="45" spans="1:8" ht="23.25">
      <c r="A45" s="96" t="s">
        <v>35</v>
      </c>
      <c r="B45" s="97">
        <f>SUM(B41:B44)</f>
        <v>133191</v>
      </c>
      <c r="C45" s="98">
        <f>SUM(C41:C43)</f>
        <v>123658</v>
      </c>
      <c r="D45" s="98">
        <f>SUM(D41:D43)</f>
        <v>158333</v>
      </c>
      <c r="E45" s="98">
        <f>SUM(E41:E44)</f>
        <v>159501.9</v>
      </c>
      <c r="F45" s="104">
        <f t="shared" si="2"/>
        <v>0.7316614420062696</v>
      </c>
      <c r="G45" s="160">
        <f>SUM(G41:G43)</f>
        <v>159500</v>
      </c>
      <c r="H45" s="192"/>
    </row>
    <row r="46" spans="1:7" ht="23.25">
      <c r="A46" s="105" t="s">
        <v>53</v>
      </c>
      <c r="B46" s="106"/>
      <c r="C46" s="106"/>
      <c r="D46" s="106"/>
      <c r="E46" s="150"/>
      <c r="F46" s="107"/>
      <c r="G46" s="163"/>
    </row>
    <row r="47" spans="1:7" ht="23.25">
      <c r="A47" s="83" t="s">
        <v>151</v>
      </c>
      <c r="B47" s="108"/>
      <c r="C47" s="109">
        <v>0</v>
      </c>
      <c r="D47" s="109">
        <v>0</v>
      </c>
      <c r="E47" s="151">
        <v>0</v>
      </c>
      <c r="F47" s="103">
        <f t="shared" si="2"/>
        <v>100</v>
      </c>
      <c r="G47" s="164">
        <v>100</v>
      </c>
    </row>
    <row r="48" spans="1:8" ht="23.25">
      <c r="A48" s="96" t="s">
        <v>54</v>
      </c>
      <c r="B48" s="98">
        <v>0</v>
      </c>
      <c r="C48" s="98">
        <f>C47</f>
        <v>0</v>
      </c>
      <c r="D48" s="98">
        <f>D47</f>
        <v>0</v>
      </c>
      <c r="E48" s="98">
        <v>0</v>
      </c>
      <c r="F48" s="104">
        <f t="shared" si="2"/>
        <v>100</v>
      </c>
      <c r="G48" s="160">
        <f>G47</f>
        <v>100</v>
      </c>
      <c r="H48" s="192"/>
    </row>
    <row r="49" spans="1:7" ht="23.25">
      <c r="A49" s="69" t="s">
        <v>36</v>
      </c>
      <c r="B49" s="70"/>
      <c r="C49" s="70"/>
      <c r="D49" s="70"/>
      <c r="E49" s="70"/>
      <c r="F49" s="89"/>
      <c r="G49" s="157"/>
    </row>
    <row r="50" spans="1:8" ht="23.25">
      <c r="A50" s="73" t="s">
        <v>58</v>
      </c>
      <c r="B50" s="74">
        <v>426423.31</v>
      </c>
      <c r="C50" s="74">
        <v>597021.45</v>
      </c>
      <c r="D50" s="74">
        <v>663767.97</v>
      </c>
      <c r="E50" s="74">
        <v>664709.59</v>
      </c>
      <c r="F50" s="77">
        <f>(G50-D50)*100/G50</f>
        <v>0.1402181435233982</v>
      </c>
      <c r="G50" s="165">
        <v>664700</v>
      </c>
      <c r="H50" s="193"/>
    </row>
    <row r="51" spans="1:8" ht="23.25">
      <c r="A51" s="73" t="s">
        <v>37</v>
      </c>
      <c r="B51" s="74">
        <v>8267139.96</v>
      </c>
      <c r="C51" s="74">
        <v>8789258.49</v>
      </c>
      <c r="D51" s="74">
        <v>9755682.94</v>
      </c>
      <c r="E51" s="74">
        <v>10130132.63</v>
      </c>
      <c r="F51" s="77">
        <f aca="true" t="shared" si="3" ref="F51:F62">(G51-D51)*100/G51</f>
        <v>3.6960845401328766</v>
      </c>
      <c r="G51" s="165">
        <v>10130100</v>
      </c>
      <c r="H51" s="193"/>
    </row>
    <row r="52" spans="1:8" ht="23.25">
      <c r="A52" s="73" t="s">
        <v>38</v>
      </c>
      <c r="B52" s="74">
        <v>3705446.73</v>
      </c>
      <c r="C52" s="74">
        <v>3625916.11</v>
      </c>
      <c r="D52" s="74">
        <v>3886503.94</v>
      </c>
      <c r="E52" s="74">
        <v>3605495.5</v>
      </c>
      <c r="F52" s="77">
        <f t="shared" si="3"/>
        <v>-7.793757869920952</v>
      </c>
      <c r="G52" s="165">
        <v>3605500</v>
      </c>
      <c r="H52" s="193"/>
    </row>
    <row r="53" spans="1:8" ht="23.25">
      <c r="A53" s="73" t="s">
        <v>39</v>
      </c>
      <c r="B53" s="74">
        <v>88472.84</v>
      </c>
      <c r="C53" s="74">
        <v>75313.26</v>
      </c>
      <c r="D53" s="74">
        <v>88626.96</v>
      </c>
      <c r="E53" s="74">
        <v>121433.91</v>
      </c>
      <c r="F53" s="77">
        <f t="shared" si="3"/>
        <v>26.99591433278418</v>
      </c>
      <c r="G53" s="165">
        <v>121400</v>
      </c>
      <c r="H53" s="193"/>
    </row>
    <row r="54" spans="1:8" ht="23.25">
      <c r="A54" s="73" t="s">
        <v>40</v>
      </c>
      <c r="B54" s="74">
        <v>1794652.07</v>
      </c>
      <c r="C54" s="74">
        <v>1808296.32</v>
      </c>
      <c r="D54" s="74">
        <v>0</v>
      </c>
      <c r="E54" s="74">
        <v>0</v>
      </c>
      <c r="F54" s="77">
        <v>0</v>
      </c>
      <c r="G54" s="165">
        <v>0</v>
      </c>
      <c r="H54" s="193" t="s">
        <v>148</v>
      </c>
    </row>
    <row r="55" spans="1:8" ht="23.25">
      <c r="A55" s="83" t="s">
        <v>41</v>
      </c>
      <c r="B55" s="84">
        <v>3860311.39</v>
      </c>
      <c r="C55" s="84">
        <v>4357781.36</v>
      </c>
      <c r="D55" s="84">
        <v>6924879.88</v>
      </c>
      <c r="E55" s="84">
        <v>7597783.89</v>
      </c>
      <c r="F55" s="93">
        <f t="shared" si="3"/>
        <v>8.856775908815711</v>
      </c>
      <c r="G55" s="166">
        <v>7597800</v>
      </c>
      <c r="H55" s="193">
        <v>19</v>
      </c>
    </row>
    <row r="56" spans="1:8" ht="23.25">
      <c r="A56" s="70" t="s">
        <v>42</v>
      </c>
      <c r="B56" s="110">
        <v>51167.69</v>
      </c>
      <c r="C56" s="110">
        <v>27975</v>
      </c>
      <c r="D56" s="110">
        <v>13175.3</v>
      </c>
      <c r="E56" s="110">
        <v>13501</v>
      </c>
      <c r="F56" s="89">
        <f t="shared" si="3"/>
        <v>2.4051851851851906</v>
      </c>
      <c r="G56" s="167">
        <v>13500</v>
      </c>
      <c r="H56" s="193"/>
    </row>
    <row r="57" spans="1:8" ht="23.25">
      <c r="A57" s="90" t="s">
        <v>43</v>
      </c>
      <c r="B57" s="91">
        <v>680617.24</v>
      </c>
      <c r="C57" s="91">
        <v>764212.55</v>
      </c>
      <c r="D57" s="91">
        <v>761835.03</v>
      </c>
      <c r="E57" s="91">
        <v>833973.78</v>
      </c>
      <c r="F57" s="92">
        <f t="shared" si="3"/>
        <v>8.652874100719421</v>
      </c>
      <c r="G57" s="168">
        <v>834000</v>
      </c>
      <c r="H57" s="193"/>
    </row>
    <row r="58" spans="1:8" ht="23.25">
      <c r="A58" s="73" t="s">
        <v>44</v>
      </c>
      <c r="B58" s="74">
        <v>61291.95</v>
      </c>
      <c r="C58" s="74">
        <v>56462.06</v>
      </c>
      <c r="D58" s="74">
        <v>54103.05</v>
      </c>
      <c r="E58" s="74">
        <v>66829.18</v>
      </c>
      <c r="F58" s="77">
        <f t="shared" si="3"/>
        <v>19.007410179640715</v>
      </c>
      <c r="G58" s="165">
        <v>66800</v>
      </c>
      <c r="H58" s="193"/>
    </row>
    <row r="59" spans="1:8" ht="23.25">
      <c r="A59" s="90" t="s">
        <v>45</v>
      </c>
      <c r="B59" s="91">
        <v>13690.34</v>
      </c>
      <c r="C59" s="91">
        <v>12866.09</v>
      </c>
      <c r="D59" s="91">
        <v>26126.84</v>
      </c>
      <c r="E59" s="91">
        <v>26536.33</v>
      </c>
      <c r="F59" s="77">
        <f t="shared" si="3"/>
        <v>1.4081509433962258</v>
      </c>
      <c r="G59" s="168">
        <v>26500</v>
      </c>
      <c r="H59" s="194"/>
    </row>
    <row r="60" spans="1:8" ht="23.25">
      <c r="A60" s="139" t="s">
        <v>124</v>
      </c>
      <c r="B60" s="74">
        <v>1704923</v>
      </c>
      <c r="C60" s="74">
        <v>1616246</v>
      </c>
      <c r="D60" s="74">
        <v>2774558</v>
      </c>
      <c r="E60" s="74">
        <v>1598411</v>
      </c>
      <c r="F60" s="77">
        <f t="shared" si="3"/>
        <v>-73.58345845845845</v>
      </c>
      <c r="G60" s="165">
        <v>1598400</v>
      </c>
      <c r="H60" s="193"/>
    </row>
    <row r="61" spans="1:7" ht="23.25">
      <c r="A61" s="83" t="s">
        <v>177</v>
      </c>
      <c r="B61" s="84">
        <v>0</v>
      </c>
      <c r="C61" s="84">
        <v>0</v>
      </c>
      <c r="D61" s="84">
        <v>0</v>
      </c>
      <c r="E61" s="84"/>
      <c r="F61" s="93">
        <v>0</v>
      </c>
      <c r="G61" s="166">
        <v>6000</v>
      </c>
    </row>
    <row r="62" spans="1:8" ht="23.25">
      <c r="A62" s="96" t="s">
        <v>46</v>
      </c>
      <c r="B62" s="97">
        <f>SUM(B50:B61)</f>
        <v>20654136.52</v>
      </c>
      <c r="C62" s="98">
        <f>C50+C51+C52+C53+C54+C55+C56+C57+C58+C59+C60</f>
        <v>21731348.689999998</v>
      </c>
      <c r="D62" s="98">
        <f>D50+D51+D52+D53+D54+D55+D56+D57+D58+D59+D60</f>
        <v>24949259.910000004</v>
      </c>
      <c r="E62" s="98">
        <f>SUM(E50:E61)</f>
        <v>24658806.81</v>
      </c>
      <c r="F62" s="94">
        <f t="shared" si="3"/>
        <v>-1.1537132420017429</v>
      </c>
      <c r="G62" s="160">
        <f>SUM(G50:G61)</f>
        <v>24664700</v>
      </c>
      <c r="H62" s="195">
        <f>G62+G48+G45+G39+G35+G13</f>
        <v>25438600</v>
      </c>
    </row>
    <row r="63" spans="1:8" ht="21.75" customHeight="1">
      <c r="A63" s="69" t="s">
        <v>47</v>
      </c>
      <c r="B63" s="110"/>
      <c r="C63" s="70"/>
      <c r="D63" s="70"/>
      <c r="E63" s="70"/>
      <c r="F63" s="89"/>
      <c r="G63" s="157"/>
      <c r="H63" s="195"/>
    </row>
    <row r="64" spans="1:8" ht="23.25">
      <c r="A64" s="113" t="s">
        <v>139</v>
      </c>
      <c r="B64" s="91">
        <v>7736710</v>
      </c>
      <c r="C64" s="111">
        <v>5683387</v>
      </c>
      <c r="D64" s="111">
        <v>5521076</v>
      </c>
      <c r="E64" s="111">
        <v>5760201</v>
      </c>
      <c r="F64" s="92">
        <f>(G64-D64)*100/G64</f>
        <v>4.151314190479497</v>
      </c>
      <c r="G64" s="168">
        <f>รายการเงินอุดหนุน!C5</f>
        <v>5760200</v>
      </c>
      <c r="H64" s="195"/>
    </row>
    <row r="65" spans="1:8" ht="23.25">
      <c r="A65" s="73" t="s">
        <v>68</v>
      </c>
      <c r="B65" s="74"/>
      <c r="C65" s="114">
        <v>526478</v>
      </c>
      <c r="D65" s="114">
        <v>413154.66</v>
      </c>
      <c r="E65" s="119">
        <v>468676</v>
      </c>
      <c r="F65" s="92">
        <f aca="true" t="shared" si="4" ref="F65:F79">(G65-D65)*100/G65</f>
        <v>-10.351137820512813</v>
      </c>
      <c r="G65" s="169">
        <f>รายการเงินอุดหนุน!C6</f>
        <v>374400</v>
      </c>
      <c r="H65" s="192"/>
    </row>
    <row r="66" spans="1:7" ht="23.25">
      <c r="A66" s="73" t="s">
        <v>60</v>
      </c>
      <c r="B66" s="74"/>
      <c r="C66" s="114">
        <v>1200700</v>
      </c>
      <c r="D66" s="114">
        <v>1044460</v>
      </c>
      <c r="E66" s="119">
        <v>1072940</v>
      </c>
      <c r="F66" s="92">
        <f t="shared" si="4"/>
        <v>-25.01017354877319</v>
      </c>
      <c r="G66" s="169">
        <f>รายการเงินอุดหนุน!C9</f>
        <v>835500</v>
      </c>
    </row>
    <row r="67" spans="1:8" ht="23.25">
      <c r="A67" s="73" t="s">
        <v>134</v>
      </c>
      <c r="B67" s="74"/>
      <c r="C67" s="114">
        <v>192100</v>
      </c>
      <c r="D67" s="114">
        <v>164900</v>
      </c>
      <c r="E67" s="119">
        <v>149600</v>
      </c>
      <c r="F67" s="92">
        <f t="shared" si="4"/>
        <v>-29.333333333333332</v>
      </c>
      <c r="G67" s="169">
        <f>รายการเงินอุดหนุน!C12</f>
        <v>127500</v>
      </c>
      <c r="H67" s="192"/>
    </row>
    <row r="68" spans="1:8" ht="23.25">
      <c r="A68" s="73" t="s">
        <v>135</v>
      </c>
      <c r="B68" s="74"/>
      <c r="C68" s="114">
        <v>0</v>
      </c>
      <c r="D68" s="114">
        <v>0</v>
      </c>
      <c r="E68" s="119">
        <v>110740</v>
      </c>
      <c r="F68" s="92">
        <f t="shared" si="4"/>
        <v>100</v>
      </c>
      <c r="G68" s="169">
        <f>รายการเงินอุดหนุน!C14</f>
        <v>40000</v>
      </c>
      <c r="H68" s="192"/>
    </row>
    <row r="69" spans="1:8" ht="23.25">
      <c r="A69" s="73" t="s">
        <v>62</v>
      </c>
      <c r="B69" s="74"/>
      <c r="C69" s="114">
        <v>2268738</v>
      </c>
      <c r="D69" s="114">
        <v>2211020</v>
      </c>
      <c r="E69" s="119">
        <v>2170790</v>
      </c>
      <c r="F69" s="92">
        <f t="shared" si="4"/>
        <v>3.935523114355231</v>
      </c>
      <c r="G69" s="170">
        <f>รายการเงินอุดหนุน!C19</f>
        <v>2301600</v>
      </c>
      <c r="H69" s="192"/>
    </row>
    <row r="70" spans="1:8" ht="23.25">
      <c r="A70" s="73" t="s">
        <v>61</v>
      </c>
      <c r="B70" s="74"/>
      <c r="C70" s="114">
        <v>288000</v>
      </c>
      <c r="D70" s="114">
        <v>288000</v>
      </c>
      <c r="E70" s="119">
        <v>282000</v>
      </c>
      <c r="F70" s="92">
        <f t="shared" si="4"/>
        <v>11.11111111111111</v>
      </c>
      <c r="G70" s="169">
        <f>รายการเงินอุดหนุน!C36</f>
        <v>324000</v>
      </c>
      <c r="H70" s="195"/>
    </row>
    <row r="71" spans="1:8" ht="23.25">
      <c r="A71" s="115" t="s">
        <v>152</v>
      </c>
      <c r="B71" s="116"/>
      <c r="C71" s="117">
        <v>10461600</v>
      </c>
      <c r="D71" s="117">
        <v>10530000</v>
      </c>
      <c r="E71" s="117">
        <v>11804600</v>
      </c>
      <c r="F71" s="118">
        <f t="shared" si="4"/>
        <v>23.562717770034844</v>
      </c>
      <c r="G71" s="171">
        <f>รายการเงินอุดหนุน!C38</f>
        <v>13776000</v>
      </c>
      <c r="H71" s="195">
        <v>20</v>
      </c>
    </row>
    <row r="72" spans="1:8" ht="23.25">
      <c r="A72" s="90" t="s">
        <v>63</v>
      </c>
      <c r="B72" s="91"/>
      <c r="C72" s="119">
        <v>2640000</v>
      </c>
      <c r="D72" s="119">
        <v>3023200</v>
      </c>
      <c r="E72" s="119">
        <v>3014400</v>
      </c>
      <c r="F72" s="92">
        <f t="shared" si="4"/>
        <v>15.91010235870049</v>
      </c>
      <c r="G72" s="172">
        <f>รายการเงินอุดหนุน!C43</f>
        <v>3595200</v>
      </c>
      <c r="H72" s="192"/>
    </row>
    <row r="73" spans="1:8" ht="23.25">
      <c r="A73" s="73" t="s">
        <v>65</v>
      </c>
      <c r="B73" s="74"/>
      <c r="C73" s="114">
        <v>0</v>
      </c>
      <c r="D73" s="114">
        <v>0</v>
      </c>
      <c r="E73" s="114">
        <v>0</v>
      </c>
      <c r="F73" s="77">
        <v>0</v>
      </c>
      <c r="G73" s="169">
        <f>รายการเงินอุดหนุน!C46</f>
        <v>20000</v>
      </c>
      <c r="H73" s="192"/>
    </row>
    <row r="74" spans="1:7" ht="23.25">
      <c r="A74" s="90" t="s">
        <v>64</v>
      </c>
      <c r="B74" s="91"/>
      <c r="C74" s="119">
        <v>0</v>
      </c>
      <c r="D74" s="119">
        <v>0</v>
      </c>
      <c r="E74" s="119">
        <v>0</v>
      </c>
      <c r="F74" s="92">
        <v>0</v>
      </c>
      <c r="G74" s="172">
        <f>รายการเงินอุดหนุน!C47</f>
        <v>20000</v>
      </c>
    </row>
    <row r="75" spans="1:7" ht="23.25">
      <c r="A75" s="73" t="s">
        <v>137</v>
      </c>
      <c r="B75" s="74"/>
      <c r="C75" s="114">
        <v>0</v>
      </c>
      <c r="D75" s="114">
        <v>220000</v>
      </c>
      <c r="E75" s="119">
        <v>220000</v>
      </c>
      <c r="F75" s="92">
        <f t="shared" si="4"/>
        <v>0</v>
      </c>
      <c r="G75" s="169">
        <f>รายการเงินอุดหนุน!C48</f>
        <v>220000</v>
      </c>
    </row>
    <row r="76" spans="1:7" ht="23.25">
      <c r="A76" s="73" t="s">
        <v>144</v>
      </c>
      <c r="B76" s="74"/>
      <c r="C76" s="114">
        <v>0</v>
      </c>
      <c r="D76" s="114">
        <v>57750</v>
      </c>
      <c r="E76" s="114">
        <v>68037</v>
      </c>
      <c r="F76" s="92">
        <f t="shared" si="4"/>
        <v>19.791666666666668</v>
      </c>
      <c r="G76" s="169">
        <f>รายการเงินอุดหนุน!C50</f>
        <v>72000</v>
      </c>
    </row>
    <row r="77" spans="1:8" ht="23.25">
      <c r="A77" s="175" t="s">
        <v>184</v>
      </c>
      <c r="B77" s="176"/>
      <c r="C77" s="177">
        <v>0</v>
      </c>
      <c r="D77" s="177"/>
      <c r="E77" s="177"/>
      <c r="F77" s="178">
        <f>(G77-D77)*100/G77</f>
        <v>100</v>
      </c>
      <c r="G77" s="179">
        <f>รายการเงินอุดหนุน!C53</f>
        <v>120000</v>
      </c>
      <c r="H77" s="191">
        <v>21</v>
      </c>
    </row>
    <row r="78" spans="1:8" ht="21.75" customHeight="1" thickBot="1">
      <c r="A78" s="96" t="s">
        <v>48</v>
      </c>
      <c r="B78" s="120">
        <f>SUM(B64:B64)</f>
        <v>7736710</v>
      </c>
      <c r="C78" s="121">
        <f>SUM(C64:C75)</f>
        <v>23261003</v>
      </c>
      <c r="D78" s="121">
        <f>SUM(D64:D77)</f>
        <v>23473560.66</v>
      </c>
      <c r="E78" s="121">
        <f>SUM(E64:E77)</f>
        <v>25121984</v>
      </c>
      <c r="F78" s="122">
        <f t="shared" si="4"/>
        <v>14.908938244932285</v>
      </c>
      <c r="G78" s="173">
        <f>SUM(G64:G77)</f>
        <v>27586400</v>
      </c>
      <c r="H78" s="195">
        <f>G78</f>
        <v>27586400</v>
      </c>
    </row>
    <row r="79" spans="1:8" ht="23.25" customHeight="1" thickBot="1" thickTop="1">
      <c r="A79" s="96" t="s">
        <v>49</v>
      </c>
      <c r="B79" s="123">
        <f>B13+B35+B39+B45+B62+B78</f>
        <v>30181465.21</v>
      </c>
      <c r="C79" s="123">
        <f>C13+C35+C45+C39+C48+C62+C78</f>
        <v>46550596.41</v>
      </c>
      <c r="D79" s="123">
        <f>D13+D35+D45+D39+D48+D62+D78</f>
        <v>50079405.96000001</v>
      </c>
      <c r="E79" s="123">
        <f>E13+E35+E45+E39+E48+E62+E78</f>
        <v>51541861.68</v>
      </c>
      <c r="F79" s="124">
        <f t="shared" si="4"/>
        <v>5.5551042715699985</v>
      </c>
      <c r="G79" s="174">
        <f>G13+G35+G45+G39+G48+G62+G78</f>
        <v>53025000</v>
      </c>
      <c r="H79" s="192">
        <f>H78+H62</f>
        <v>53025000</v>
      </c>
    </row>
    <row r="80" ht="23.25">
      <c r="H80" s="192"/>
    </row>
    <row r="81" spans="3:8" ht="23.25">
      <c r="C81" s="126"/>
      <c r="D81" s="112"/>
      <c r="E81" s="112"/>
      <c r="F81" s="127"/>
      <c r="G81" s="112"/>
      <c r="H81" s="192"/>
    </row>
    <row r="82" spans="3:8" ht="23.25">
      <c r="C82" s="126"/>
      <c r="D82" s="128"/>
      <c r="E82" s="128"/>
      <c r="F82" s="129"/>
      <c r="G82" s="128"/>
      <c r="H82" s="192"/>
    </row>
    <row r="83" spans="3:8" ht="23.25">
      <c r="C83" s="126"/>
      <c r="D83" s="130"/>
      <c r="E83" s="130"/>
      <c r="F83" s="131"/>
      <c r="G83" s="130"/>
      <c r="H83" s="192"/>
    </row>
    <row r="84" spans="3:7" ht="23.25">
      <c r="C84" s="132"/>
      <c r="D84" s="133"/>
      <c r="E84" s="133"/>
      <c r="F84" s="134"/>
      <c r="G84" s="133"/>
    </row>
    <row r="85" spans="3:8" ht="23.25">
      <c r="C85" s="126"/>
      <c r="D85" s="130"/>
      <c r="E85" s="130"/>
      <c r="F85" s="131"/>
      <c r="G85" s="130"/>
      <c r="H85" s="192"/>
    </row>
    <row r="86" ht="23.25">
      <c r="H86" s="192"/>
    </row>
    <row r="88" ht="23.25">
      <c r="H88" s="192"/>
    </row>
    <row r="91" ht="23.25">
      <c r="H91" s="192"/>
    </row>
  </sheetData>
  <sheetProtection/>
  <mergeCells count="12">
    <mergeCell ref="C6:C7"/>
    <mergeCell ref="G6:G7"/>
    <mergeCell ref="D6:D7"/>
    <mergeCell ref="E6:E7"/>
    <mergeCell ref="B5:E5"/>
    <mergeCell ref="F5:G5"/>
    <mergeCell ref="A1:G1"/>
    <mergeCell ref="A2:G2"/>
    <mergeCell ref="A3:G3"/>
    <mergeCell ref="A4:G4"/>
    <mergeCell ref="A5:A7"/>
    <mergeCell ref="B6:B7"/>
  </mergeCells>
  <printOptions/>
  <pageMargins left="0.1968503937007874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3">
      <selection activeCell="E40" sqref="E40"/>
    </sheetView>
  </sheetViews>
  <sheetFormatPr defaultColWidth="9.140625" defaultRowHeight="15"/>
  <cols>
    <col min="1" max="1" width="67.140625" style="125" customWidth="1"/>
    <col min="2" max="2" width="18.421875" style="125" customWidth="1"/>
    <col min="3" max="3" width="12.421875" style="180" customWidth="1"/>
    <col min="4" max="4" width="15.8515625" style="125" bestFit="1" customWidth="1"/>
    <col min="5" max="5" width="14.7109375" style="125" bestFit="1" customWidth="1"/>
    <col min="6" max="16384" width="9.00390625" style="125" customWidth="1"/>
  </cols>
  <sheetData>
    <row r="1" spans="1:3" ht="19.5">
      <c r="A1" s="224" t="s">
        <v>186</v>
      </c>
      <c r="B1" s="224"/>
      <c r="C1" s="196"/>
    </row>
    <row r="2" spans="1:3" ht="19.5">
      <c r="A2" s="224" t="s">
        <v>187</v>
      </c>
      <c r="B2" s="224"/>
      <c r="C2" s="196"/>
    </row>
    <row r="3" spans="1:3" ht="19.5">
      <c r="A3" s="225" t="s">
        <v>109</v>
      </c>
      <c r="B3" s="225"/>
      <c r="C3" s="197"/>
    </row>
    <row r="4" spans="1:3" ht="22.5" customHeight="1">
      <c r="A4" s="189" t="s">
        <v>47</v>
      </c>
      <c r="B4" s="198" t="s">
        <v>111</v>
      </c>
      <c r="C4" s="190"/>
    </row>
    <row r="5" spans="1:3" ht="22.5" customHeight="1">
      <c r="A5" s="186" t="s">
        <v>89</v>
      </c>
      <c r="B5" s="187">
        <v>5760200</v>
      </c>
      <c r="C5" s="188">
        <v>5760200</v>
      </c>
    </row>
    <row r="6" spans="1:3" ht="19.5">
      <c r="A6" s="135" t="s">
        <v>90</v>
      </c>
      <c r="B6" s="136">
        <f>B7+B8</f>
        <v>374400</v>
      </c>
      <c r="C6" s="184">
        <v>374400</v>
      </c>
    </row>
    <row r="7" spans="1:3" ht="19.5">
      <c r="A7" s="137" t="s">
        <v>161</v>
      </c>
      <c r="B7" s="138">
        <f>117*7.5*260</f>
        <v>228150</v>
      </c>
      <c r="C7" s="184"/>
    </row>
    <row r="8" spans="1:3" ht="19.5">
      <c r="A8" s="139" t="s">
        <v>162</v>
      </c>
      <c r="B8" s="138">
        <f>75*7.5*260</f>
        <v>146250</v>
      </c>
      <c r="C8" s="184"/>
    </row>
    <row r="9" spans="1:3" ht="19.5">
      <c r="A9" s="135" t="s">
        <v>91</v>
      </c>
      <c r="B9" s="136">
        <f>B10+B11</f>
        <v>835500</v>
      </c>
      <c r="C9" s="184">
        <v>835500</v>
      </c>
    </row>
    <row r="10" spans="1:3" ht="19.5">
      <c r="A10" s="137" t="s">
        <v>163</v>
      </c>
      <c r="B10" s="138">
        <f>117*20*200</f>
        <v>468000</v>
      </c>
      <c r="C10" s="184"/>
    </row>
    <row r="11" spans="1:3" ht="19.5">
      <c r="A11" s="139" t="s">
        <v>164</v>
      </c>
      <c r="B11" s="138">
        <f>75*20*245</f>
        <v>367500</v>
      </c>
      <c r="C11" s="184"/>
    </row>
    <row r="12" spans="1:3" ht="19.5">
      <c r="A12" s="135" t="s">
        <v>125</v>
      </c>
      <c r="B12" s="136">
        <f>B13</f>
        <v>127500</v>
      </c>
      <c r="C12" s="184">
        <v>127500</v>
      </c>
    </row>
    <row r="13" spans="1:3" ht="19.5">
      <c r="A13" s="139" t="s">
        <v>165</v>
      </c>
      <c r="B13" s="138">
        <f>75*1700</f>
        <v>127500</v>
      </c>
      <c r="C13" s="184"/>
    </row>
    <row r="14" spans="1:4" ht="19.5">
      <c r="A14" s="135" t="s">
        <v>136</v>
      </c>
      <c r="B14" s="136">
        <f>B15+B16+B17+B18</f>
        <v>39550</v>
      </c>
      <c r="C14" s="184">
        <v>40000</v>
      </c>
      <c r="D14" s="140">
        <f>C14-B14</f>
        <v>450</v>
      </c>
    </row>
    <row r="15" spans="1:3" ht="19.5">
      <c r="A15" s="137" t="s">
        <v>166</v>
      </c>
      <c r="B15" s="143">
        <f>35*200</f>
        <v>7000</v>
      </c>
      <c r="C15" s="184"/>
    </row>
    <row r="16" spans="1:3" ht="19.5">
      <c r="A16" s="137" t="s">
        <v>167</v>
      </c>
      <c r="B16" s="143">
        <f>35*200</f>
        <v>7000</v>
      </c>
      <c r="C16" s="184"/>
    </row>
    <row r="17" spans="1:3" ht="19.5">
      <c r="A17" s="137" t="s">
        <v>168</v>
      </c>
      <c r="B17" s="143">
        <f>35*300</f>
        <v>10500</v>
      </c>
      <c r="C17" s="184"/>
    </row>
    <row r="18" spans="1:3" ht="19.5">
      <c r="A18" s="137" t="s">
        <v>169</v>
      </c>
      <c r="B18" s="143">
        <f>35*430</f>
        <v>15050</v>
      </c>
      <c r="C18" s="184"/>
    </row>
    <row r="19" spans="1:4" ht="19.5">
      <c r="A19" s="135" t="s">
        <v>92</v>
      </c>
      <c r="B19" s="136">
        <f>B20+B26+B33+B34+B35</f>
        <v>2301560</v>
      </c>
      <c r="C19" s="184">
        <v>2301600</v>
      </c>
      <c r="D19" s="148">
        <f>C19-B19</f>
        <v>40</v>
      </c>
    </row>
    <row r="20" spans="1:3" ht="19.5">
      <c r="A20" s="135" t="s">
        <v>93</v>
      </c>
      <c r="B20" s="136">
        <f>B21+B22+B23+B24+B25</f>
        <v>1320120</v>
      </c>
      <c r="C20" s="184"/>
    </row>
    <row r="21" spans="1:3" ht="19.5">
      <c r="A21" s="139" t="s">
        <v>157</v>
      </c>
      <c r="B21" s="138">
        <f>27110*12</f>
        <v>325320</v>
      </c>
      <c r="C21" s="184"/>
    </row>
    <row r="22" spans="1:3" ht="19.5">
      <c r="A22" s="139" t="s">
        <v>158</v>
      </c>
      <c r="B22" s="138">
        <f>26980*12</f>
        <v>323760</v>
      </c>
      <c r="C22" s="184"/>
    </row>
    <row r="23" spans="1:3" ht="19.5">
      <c r="A23" s="139" t="s">
        <v>159</v>
      </c>
      <c r="B23" s="138">
        <f>27300*12</f>
        <v>327600</v>
      </c>
      <c r="C23" s="184"/>
    </row>
    <row r="24" spans="1:5" ht="19.5">
      <c r="A24" s="139" t="s">
        <v>160</v>
      </c>
      <c r="B24" s="138">
        <f>18120*12</f>
        <v>217440</v>
      </c>
      <c r="C24" s="184"/>
      <c r="D24" s="140"/>
      <c r="E24" s="140"/>
    </row>
    <row r="25" spans="1:5" ht="19.5">
      <c r="A25" s="135" t="s">
        <v>176</v>
      </c>
      <c r="B25" s="136">
        <f>3500*3*12</f>
        <v>126000</v>
      </c>
      <c r="C25" s="184"/>
      <c r="D25" s="140"/>
      <c r="E25" s="140"/>
    </row>
    <row r="26" spans="1:3" ht="20.25" customHeight="1">
      <c r="A26" s="141" t="s">
        <v>172</v>
      </c>
      <c r="B26" s="136">
        <f>B27+B28+B29+B30+B31+B32</f>
        <v>811200</v>
      </c>
      <c r="C26" s="184"/>
    </row>
    <row r="27" spans="1:3" ht="19.5">
      <c r="A27" s="137" t="s">
        <v>69</v>
      </c>
      <c r="B27" s="138">
        <f>15000*12</f>
        <v>180000</v>
      </c>
      <c r="C27" s="184"/>
    </row>
    <row r="28" spans="1:3" ht="19.5">
      <c r="A28" s="137" t="s">
        <v>70</v>
      </c>
      <c r="B28" s="138">
        <f>15000*12</f>
        <v>180000</v>
      </c>
      <c r="C28" s="184"/>
    </row>
    <row r="29" spans="1:3" ht="19.5">
      <c r="A29" s="137" t="s">
        <v>126</v>
      </c>
      <c r="B29" s="138">
        <f>9400*12</f>
        <v>112800</v>
      </c>
      <c r="C29" s="184"/>
    </row>
    <row r="30" spans="1:3" ht="19.5">
      <c r="A30" s="137" t="s">
        <v>127</v>
      </c>
      <c r="B30" s="138">
        <f>9400*12</f>
        <v>112800</v>
      </c>
      <c r="C30" s="184"/>
    </row>
    <row r="31" spans="1:3" ht="19.5">
      <c r="A31" s="137" t="s">
        <v>128</v>
      </c>
      <c r="B31" s="138">
        <f>9400*12</f>
        <v>112800</v>
      </c>
      <c r="C31" s="184"/>
    </row>
    <row r="32" spans="1:3" ht="19.5">
      <c r="A32" s="137" t="s">
        <v>129</v>
      </c>
      <c r="B32" s="138">
        <f>9400*12</f>
        <v>112800</v>
      </c>
      <c r="C32" s="184"/>
    </row>
    <row r="33" spans="1:4" ht="19.5">
      <c r="A33" s="142" t="s">
        <v>173</v>
      </c>
      <c r="B33" s="136">
        <f>2000*4*12</f>
        <v>96000</v>
      </c>
      <c r="C33" s="184"/>
      <c r="D33" s="140"/>
    </row>
    <row r="34" spans="1:3" ht="19.5">
      <c r="A34" s="142" t="s">
        <v>174</v>
      </c>
      <c r="B34" s="136">
        <v>54240</v>
      </c>
      <c r="C34" s="184"/>
    </row>
    <row r="35" spans="1:3" ht="19.5">
      <c r="A35" s="142" t="s">
        <v>175</v>
      </c>
      <c r="B35" s="136">
        <v>20000</v>
      </c>
      <c r="C35" s="184"/>
    </row>
    <row r="36" spans="1:3" ht="19.5">
      <c r="A36" s="135" t="s">
        <v>130</v>
      </c>
      <c r="B36" s="136">
        <f>B37</f>
        <v>324000</v>
      </c>
      <c r="C36" s="184">
        <v>324000</v>
      </c>
    </row>
    <row r="37" spans="1:3" ht="19.5">
      <c r="A37" s="137" t="s">
        <v>170</v>
      </c>
      <c r="B37" s="143">
        <f>54*500*12</f>
        <v>324000</v>
      </c>
      <c r="C37" s="184"/>
    </row>
    <row r="38" spans="1:3" ht="19.5">
      <c r="A38" s="142" t="s">
        <v>179</v>
      </c>
      <c r="B38" s="144">
        <f>B39+B40+B41+B42</f>
        <v>13776000</v>
      </c>
      <c r="C38" s="184">
        <v>13776000</v>
      </c>
    </row>
    <row r="39" spans="1:3" ht="19.5">
      <c r="A39" s="137" t="s">
        <v>178</v>
      </c>
      <c r="B39" s="143">
        <f>1160*600*12</f>
        <v>8352000</v>
      </c>
      <c r="C39" s="184"/>
    </row>
    <row r="40" spans="1:3" ht="19.5">
      <c r="A40" s="137" t="s">
        <v>171</v>
      </c>
      <c r="B40" s="143">
        <f>382*700*12</f>
        <v>3208800</v>
      </c>
      <c r="C40" s="184"/>
    </row>
    <row r="41" spans="1:3" ht="19.5">
      <c r="A41" s="137" t="s">
        <v>180</v>
      </c>
      <c r="B41" s="143">
        <f>187*800*12</f>
        <v>1795200</v>
      </c>
      <c r="C41" s="184"/>
    </row>
    <row r="42" spans="1:3" ht="19.5">
      <c r="A42" s="137" t="s">
        <v>181</v>
      </c>
      <c r="B42" s="143">
        <f>35*1000*12</f>
        <v>420000</v>
      </c>
      <c r="C42" s="184"/>
    </row>
    <row r="43" spans="1:3" ht="19.5">
      <c r="A43" s="142" t="s">
        <v>131</v>
      </c>
      <c r="B43" s="144">
        <f>B44+B45</f>
        <v>3595200</v>
      </c>
      <c r="C43" s="184">
        <v>3595200</v>
      </c>
    </row>
    <row r="44" spans="1:4" ht="19.5">
      <c r="A44" s="137" t="s">
        <v>182</v>
      </c>
      <c r="B44" s="143">
        <f>352*800*12</f>
        <v>3379200</v>
      </c>
      <c r="C44" s="184"/>
      <c r="D44" s="140"/>
    </row>
    <row r="45" spans="1:4" ht="19.5">
      <c r="A45" s="137" t="s">
        <v>183</v>
      </c>
      <c r="B45" s="143">
        <f>18*1000*12</f>
        <v>216000</v>
      </c>
      <c r="C45" s="184"/>
      <c r="D45" s="140"/>
    </row>
    <row r="46" spans="1:4" ht="19.5">
      <c r="A46" s="142" t="s">
        <v>132</v>
      </c>
      <c r="B46" s="144">
        <v>20000</v>
      </c>
      <c r="C46" s="184">
        <v>20000</v>
      </c>
      <c r="D46" s="140"/>
    </row>
    <row r="47" spans="1:4" ht="19.5">
      <c r="A47" s="142" t="s">
        <v>133</v>
      </c>
      <c r="B47" s="144">
        <v>20000</v>
      </c>
      <c r="C47" s="184">
        <v>20000</v>
      </c>
      <c r="D47" s="140"/>
    </row>
    <row r="48" spans="1:4" ht="19.5">
      <c r="A48" s="142" t="s">
        <v>138</v>
      </c>
      <c r="B48" s="144">
        <v>220000</v>
      </c>
      <c r="C48" s="184">
        <v>220000</v>
      </c>
      <c r="D48" s="140"/>
    </row>
    <row r="49" spans="1:4" ht="19.5">
      <c r="A49" s="137" t="s">
        <v>141</v>
      </c>
      <c r="B49" s="143"/>
      <c r="C49" s="184"/>
      <c r="D49" s="140"/>
    </row>
    <row r="50" spans="1:4" ht="19.5">
      <c r="A50" s="145" t="s">
        <v>140</v>
      </c>
      <c r="B50" s="144">
        <f>B51+B52</f>
        <v>72000</v>
      </c>
      <c r="C50" s="184">
        <v>72000</v>
      </c>
      <c r="D50" s="140"/>
    </row>
    <row r="51" spans="1:4" ht="19.5">
      <c r="A51" s="181" t="s">
        <v>142</v>
      </c>
      <c r="B51" s="143">
        <f>2000*6</f>
        <v>12000</v>
      </c>
      <c r="C51" s="184"/>
      <c r="D51" s="140"/>
    </row>
    <row r="52" spans="1:3" ht="19.5">
      <c r="A52" s="137" t="s">
        <v>143</v>
      </c>
      <c r="B52" s="143">
        <f>2000*30</f>
        <v>60000</v>
      </c>
      <c r="C52" s="184"/>
    </row>
    <row r="53" spans="1:3" ht="19.5">
      <c r="A53" s="211" t="s">
        <v>185</v>
      </c>
      <c r="B53" s="182">
        <f>5000*2*12</f>
        <v>120000</v>
      </c>
      <c r="C53" s="185">
        <v>120000</v>
      </c>
    </row>
    <row r="54" spans="1:4" ht="19.5">
      <c r="A54" s="146" t="s">
        <v>67</v>
      </c>
      <c r="B54" s="147">
        <f>B5+B6+B9+B12+B14+B19+B36+B38+B43+B46+B47+B48+B50+B53</f>
        <v>27585910</v>
      </c>
      <c r="C54" s="183">
        <f>SUM(C5:C53)</f>
        <v>27586400</v>
      </c>
      <c r="D54" s="140">
        <f>C54-B54</f>
        <v>490</v>
      </c>
    </row>
    <row r="55" spans="1:2" ht="20.25" customHeight="1">
      <c r="A55" s="127"/>
      <c r="B55" s="148"/>
    </row>
    <row r="56" spans="1:2" ht="20.25" customHeight="1">
      <c r="A56" s="127"/>
      <c r="B56" s="148"/>
    </row>
  </sheetData>
  <sheetProtection/>
  <mergeCells count="3">
    <mergeCell ref="A1:B1"/>
    <mergeCell ref="A2:B2"/>
    <mergeCell ref="A3:B3"/>
  </mergeCells>
  <printOptions/>
  <pageMargins left="0.6299212598425197" right="0.03937007874015748" top="0.7480314960629921" bottom="0.5905511811023623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8515625" style="210" customWidth="1"/>
    <col min="2" max="2" width="46.140625" style="199" customWidth="1"/>
    <col min="3" max="3" width="19.421875" style="199" customWidth="1"/>
    <col min="4" max="4" width="12.57421875" style="199" customWidth="1"/>
    <col min="5" max="16384" width="9.00390625" style="199" customWidth="1"/>
  </cols>
  <sheetData>
    <row r="1" spans="1:4" ht="24">
      <c r="A1" s="226" t="s">
        <v>188</v>
      </c>
      <c r="B1" s="226"/>
      <c r="C1" s="226"/>
      <c r="D1" s="226"/>
    </row>
    <row r="2" spans="1:4" ht="24">
      <c r="A2" s="226" t="s">
        <v>109</v>
      </c>
      <c r="B2" s="226"/>
      <c r="C2" s="226"/>
      <c r="D2" s="226"/>
    </row>
    <row r="3" spans="1:9" ht="24">
      <c r="A3" s="227" t="s">
        <v>110</v>
      </c>
      <c r="B3" s="227" t="s">
        <v>73</v>
      </c>
      <c r="C3" s="200" t="s">
        <v>111</v>
      </c>
      <c r="D3" s="227" t="s">
        <v>113</v>
      </c>
      <c r="I3" s="199">
        <v>983000</v>
      </c>
    </row>
    <row r="4" spans="1:9" ht="24">
      <c r="A4" s="227"/>
      <c r="B4" s="227"/>
      <c r="C4" s="201" t="s">
        <v>112</v>
      </c>
      <c r="D4" s="227"/>
      <c r="I4" s="199">
        <v>220000</v>
      </c>
    </row>
    <row r="5" spans="1:9" ht="24">
      <c r="A5" s="202">
        <v>1</v>
      </c>
      <c r="B5" s="203" t="s">
        <v>114</v>
      </c>
      <c r="C5" s="204"/>
      <c r="D5" s="205"/>
      <c r="I5" s="199">
        <f>SUM(I3:I4)</f>
        <v>1203000</v>
      </c>
    </row>
    <row r="6" spans="1:9" ht="24">
      <c r="A6" s="202"/>
      <c r="B6" s="205" t="s">
        <v>115</v>
      </c>
      <c r="C6" s="206">
        <v>28000</v>
      </c>
      <c r="D6" s="205"/>
      <c r="I6" s="199">
        <f>I5*100/22445080</f>
        <v>5.359749218982512</v>
      </c>
    </row>
    <row r="7" spans="1:4" ht="24">
      <c r="A7" s="202"/>
      <c r="B7" s="205" t="s">
        <v>116</v>
      </c>
      <c r="C7" s="206">
        <v>50000</v>
      </c>
      <c r="D7" s="205"/>
    </row>
    <row r="8" spans="1:4" ht="24">
      <c r="A8" s="202"/>
      <c r="B8" s="205" t="s">
        <v>117</v>
      </c>
      <c r="C8" s="206">
        <v>50000</v>
      </c>
      <c r="D8" s="205"/>
    </row>
    <row r="9" spans="1:4" ht="24">
      <c r="A9" s="202"/>
      <c r="B9" s="205" t="s">
        <v>145</v>
      </c>
      <c r="C9" s="206">
        <v>65000</v>
      </c>
      <c r="D9" s="205"/>
    </row>
    <row r="10" spans="1:4" ht="24">
      <c r="A10" s="202"/>
      <c r="B10" s="205" t="s">
        <v>146</v>
      </c>
      <c r="C10" s="206">
        <v>30000</v>
      </c>
      <c r="D10" s="205"/>
    </row>
    <row r="11" spans="1:4" ht="24">
      <c r="A11" s="202"/>
      <c r="B11" s="205" t="s">
        <v>147</v>
      </c>
      <c r="C11" s="206">
        <v>25000</v>
      </c>
      <c r="D11" s="205"/>
    </row>
    <row r="12" spans="1:4" ht="24">
      <c r="A12" s="202"/>
      <c r="B12" s="205" t="s">
        <v>153</v>
      </c>
      <c r="C12" s="206">
        <v>90000</v>
      </c>
      <c r="D12" s="205"/>
    </row>
    <row r="13" spans="1:4" ht="24">
      <c r="A13" s="202">
        <v>2</v>
      </c>
      <c r="B13" s="203" t="s">
        <v>118</v>
      </c>
      <c r="C13" s="206"/>
      <c r="D13" s="205"/>
    </row>
    <row r="14" spans="1:4" ht="24">
      <c r="A14" s="202"/>
      <c r="B14" s="205" t="s">
        <v>119</v>
      </c>
      <c r="C14" s="206">
        <v>850000</v>
      </c>
      <c r="D14" s="205"/>
    </row>
    <row r="15" spans="1:4" ht="24">
      <c r="A15" s="202">
        <v>3</v>
      </c>
      <c r="B15" s="203" t="s">
        <v>120</v>
      </c>
      <c r="C15" s="206"/>
      <c r="D15" s="205"/>
    </row>
    <row r="16" spans="1:4" ht="24">
      <c r="A16" s="202"/>
      <c r="B16" s="205" t="s">
        <v>121</v>
      </c>
      <c r="C16" s="206">
        <v>12000</v>
      </c>
      <c r="D16" s="205"/>
    </row>
    <row r="17" spans="1:4" ht="24">
      <c r="A17" s="202"/>
      <c r="B17" s="207" t="s">
        <v>66</v>
      </c>
      <c r="C17" s="208">
        <f>SUM(C6:C16)</f>
        <v>1200000</v>
      </c>
      <c r="D17" s="205"/>
    </row>
    <row r="18" spans="1:4" ht="24">
      <c r="A18" s="202"/>
      <c r="B18" s="207" t="s">
        <v>189</v>
      </c>
      <c r="C18" s="208">
        <v>26419878</v>
      </c>
      <c r="D18" s="205"/>
    </row>
    <row r="19" spans="1:4" ht="24">
      <c r="A19" s="202"/>
      <c r="B19" s="207" t="s">
        <v>122</v>
      </c>
      <c r="C19" s="209">
        <f>C17*100/C18</f>
        <v>4.542034599856971</v>
      </c>
      <c r="D19" s="205"/>
    </row>
  </sheetData>
  <sheetProtection/>
  <mergeCells count="5">
    <mergeCell ref="A1:D1"/>
    <mergeCell ref="A2:D2"/>
    <mergeCell ref="A3:A4"/>
    <mergeCell ref="B3:B4"/>
    <mergeCell ref="D3:D4"/>
  </mergeCells>
  <printOptions/>
  <pageMargins left="0.7086614173228347" right="0.31496062992125984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6.28125" style="9" customWidth="1"/>
    <col min="2" max="2" width="65.421875" style="1" customWidth="1"/>
    <col min="3" max="3" width="16.140625" style="1" customWidth="1"/>
    <col min="4" max="6" width="9.00390625" style="1" customWidth="1"/>
    <col min="7" max="7" width="15.140625" style="1" bestFit="1" customWidth="1"/>
    <col min="8" max="16384" width="9.00390625" style="1" customWidth="1"/>
  </cols>
  <sheetData>
    <row r="1" spans="1:3" ht="24.75">
      <c r="A1" s="228" t="s">
        <v>108</v>
      </c>
      <c r="B1" s="228"/>
      <c r="C1" s="228"/>
    </row>
    <row r="2" spans="1:3" ht="24.75">
      <c r="A2" s="229" t="s">
        <v>72</v>
      </c>
      <c r="B2" s="229"/>
      <c r="C2" s="229"/>
    </row>
    <row r="3" spans="1:3" ht="24.75">
      <c r="A3" s="8" t="s">
        <v>75</v>
      </c>
      <c r="B3" s="8" t="s">
        <v>73</v>
      </c>
      <c r="C3" s="8" t="s">
        <v>74</v>
      </c>
    </row>
    <row r="4" spans="1:3" ht="24.75">
      <c r="A4" s="16"/>
      <c r="B4" s="4" t="s">
        <v>84</v>
      </c>
      <c r="C4" s="16"/>
    </row>
    <row r="5" spans="1:3" ht="24.75">
      <c r="A5" s="13">
        <v>1</v>
      </c>
      <c r="B5" s="14" t="s">
        <v>83</v>
      </c>
      <c r="C5" s="15">
        <v>5683390</v>
      </c>
    </row>
    <row r="6" spans="1:3" ht="24.75">
      <c r="A6" s="10">
        <v>2</v>
      </c>
      <c r="B6" s="3" t="s">
        <v>76</v>
      </c>
      <c r="C6" s="11">
        <v>497250</v>
      </c>
    </row>
    <row r="7" spans="1:3" ht="24.75">
      <c r="A7" s="10">
        <v>3</v>
      </c>
      <c r="B7" s="3" t="s">
        <v>77</v>
      </c>
      <c r="C7" s="11" t="e">
        <f>#REF!</f>
        <v>#REF!</v>
      </c>
    </row>
    <row r="8" spans="1:3" ht="24.75">
      <c r="A8" s="10">
        <v>4</v>
      </c>
      <c r="B8" s="3" t="s">
        <v>78</v>
      </c>
      <c r="C8" s="11" t="e">
        <f>#REF!</f>
        <v>#REF!</v>
      </c>
    </row>
    <row r="9" spans="1:3" ht="24.75">
      <c r="A9" s="10">
        <v>5</v>
      </c>
      <c r="B9" s="3" t="s">
        <v>79</v>
      </c>
      <c r="C9" s="18" t="e">
        <f>#REF!</f>
        <v>#REF!</v>
      </c>
    </row>
    <row r="10" spans="1:3" ht="24.75">
      <c r="A10" s="10">
        <v>6</v>
      </c>
      <c r="B10" s="3" t="s">
        <v>85</v>
      </c>
      <c r="C10" s="11">
        <v>2247180</v>
      </c>
    </row>
    <row r="11" spans="1:7" ht="24.75">
      <c r="A11" s="10">
        <v>7</v>
      </c>
      <c r="B11" s="3" t="s">
        <v>86</v>
      </c>
      <c r="C11" s="11">
        <v>11163600</v>
      </c>
      <c r="G11" s="5" t="e">
        <f>C9+C11+C12</f>
        <v>#REF!</v>
      </c>
    </row>
    <row r="12" spans="1:3" ht="24.75">
      <c r="A12" s="10">
        <v>8</v>
      </c>
      <c r="B12" s="3" t="s">
        <v>80</v>
      </c>
      <c r="C12" s="11">
        <v>3283200</v>
      </c>
    </row>
    <row r="13" spans="1:3" ht="24.75">
      <c r="A13" s="10">
        <v>9</v>
      </c>
      <c r="B13" s="3" t="s">
        <v>81</v>
      </c>
      <c r="C13" s="11">
        <v>58000</v>
      </c>
    </row>
    <row r="14" spans="1:3" ht="24.75">
      <c r="A14" s="10">
        <v>10</v>
      </c>
      <c r="B14" s="3" t="s">
        <v>82</v>
      </c>
      <c r="C14" s="18">
        <v>50000</v>
      </c>
    </row>
    <row r="15" spans="1:3" ht="24.75">
      <c r="A15" s="7"/>
      <c r="B15" s="2" t="s">
        <v>67</v>
      </c>
      <c r="C15" s="24" t="e">
        <f>SUM(C5:C14)</f>
        <v>#REF!</v>
      </c>
    </row>
  </sheetData>
  <sheetProtection/>
  <mergeCells count="2">
    <mergeCell ref="A1:C1"/>
    <mergeCell ref="A2:C2"/>
  </mergeCells>
  <printOptions/>
  <pageMargins left="0.6299212598425197" right="0.2362204724409449" top="0.7480314960629921" bottom="0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6.28125" style="9" customWidth="1"/>
    <col min="2" max="2" width="65.421875" style="1" customWidth="1"/>
    <col min="3" max="3" width="16.140625" style="1" customWidth="1"/>
    <col min="4" max="4" width="15.28125" style="1" customWidth="1"/>
    <col min="5" max="5" width="14.8515625" style="1" customWidth="1"/>
    <col min="6" max="6" width="16.00390625" style="1" customWidth="1"/>
    <col min="7" max="16384" width="9.00390625" style="1" customWidth="1"/>
  </cols>
  <sheetData>
    <row r="1" spans="1:6" ht="24.75">
      <c r="A1" s="228" t="s">
        <v>71</v>
      </c>
      <c r="B1" s="228"/>
      <c r="C1" s="228"/>
      <c r="D1" s="228"/>
      <c r="E1" s="228"/>
      <c r="F1" s="228"/>
    </row>
    <row r="2" spans="1:6" ht="24.75">
      <c r="A2" s="229" t="s">
        <v>72</v>
      </c>
      <c r="B2" s="229"/>
      <c r="C2" s="229"/>
      <c r="D2" s="229"/>
      <c r="E2" s="229"/>
      <c r="F2" s="229"/>
    </row>
    <row r="3" spans="1:6" ht="24.75">
      <c r="A3" s="8" t="s">
        <v>75</v>
      </c>
      <c r="B3" s="8" t="s">
        <v>73</v>
      </c>
      <c r="C3" s="8" t="s">
        <v>74</v>
      </c>
      <c r="D3" s="8" t="s">
        <v>95</v>
      </c>
      <c r="E3" s="8" t="s">
        <v>94</v>
      </c>
      <c r="F3" s="8" t="s">
        <v>88</v>
      </c>
    </row>
    <row r="4" spans="1:6" ht="24.75">
      <c r="A4" s="16"/>
      <c r="B4" s="4" t="s">
        <v>84</v>
      </c>
      <c r="C4" s="16"/>
      <c r="D4" s="21"/>
      <c r="E4" s="21"/>
      <c r="F4" s="17"/>
    </row>
    <row r="5" spans="1:6" ht="24.75">
      <c r="A5" s="13">
        <v>1</v>
      </c>
      <c r="B5" s="14" t="s">
        <v>83</v>
      </c>
      <c r="C5" s="15">
        <v>5483410</v>
      </c>
      <c r="D5" s="11">
        <v>5683387</v>
      </c>
      <c r="E5" s="22">
        <f>D5-C5</f>
        <v>199977</v>
      </c>
      <c r="F5" s="11">
        <v>5683390</v>
      </c>
    </row>
    <row r="6" spans="1:6" ht="24.75">
      <c r="A6" s="10">
        <v>2</v>
      </c>
      <c r="B6" s="3" t="s">
        <v>76</v>
      </c>
      <c r="C6" s="11">
        <v>495170</v>
      </c>
      <c r="D6" s="11">
        <f>162398+234254</f>
        <v>396652</v>
      </c>
      <c r="E6" s="22">
        <f aca="true" t="shared" si="0" ref="E6:E14">D6-C6</f>
        <v>-98518</v>
      </c>
      <c r="F6" s="11">
        <v>497250</v>
      </c>
    </row>
    <row r="7" spans="1:6" ht="24.75">
      <c r="A7" s="10">
        <v>3</v>
      </c>
      <c r="B7" s="3" t="s">
        <v>77</v>
      </c>
      <c r="C7" s="11">
        <v>1157700</v>
      </c>
      <c r="D7" s="11">
        <f>418100+489000</f>
        <v>907100</v>
      </c>
      <c r="E7" s="22">
        <f t="shared" si="0"/>
        <v>-250600</v>
      </c>
      <c r="F7" s="11">
        <v>1107300</v>
      </c>
    </row>
    <row r="8" spans="1:6" ht="24.75">
      <c r="A8" s="10">
        <v>4</v>
      </c>
      <c r="B8" s="3" t="s">
        <v>78</v>
      </c>
      <c r="C8" s="11">
        <v>22000</v>
      </c>
      <c r="D8" s="11"/>
      <c r="E8" s="22">
        <f t="shared" si="0"/>
        <v>-22000</v>
      </c>
      <c r="F8" s="11">
        <v>20000</v>
      </c>
    </row>
    <row r="9" spans="1:6" ht="24.75">
      <c r="A9" s="10">
        <v>5</v>
      </c>
      <c r="B9" s="3" t="s">
        <v>79</v>
      </c>
      <c r="C9" s="11">
        <v>288000</v>
      </c>
      <c r="D9" s="11">
        <f>216000+72000</f>
        <v>288000</v>
      </c>
      <c r="E9" s="22">
        <f t="shared" si="0"/>
        <v>0</v>
      </c>
      <c r="F9" s="11">
        <v>300000</v>
      </c>
    </row>
    <row r="10" spans="1:6" ht="24.75">
      <c r="A10" s="10">
        <v>6</v>
      </c>
      <c r="B10" s="3" t="s">
        <v>85</v>
      </c>
      <c r="C10" s="11">
        <v>2316940</v>
      </c>
      <c r="D10" s="11">
        <f>2022030+30000+192100</f>
        <v>2244130</v>
      </c>
      <c r="E10" s="22">
        <f t="shared" si="0"/>
        <v>-72810</v>
      </c>
      <c r="F10" s="11">
        <v>2259780</v>
      </c>
    </row>
    <row r="11" spans="1:6" ht="24.75">
      <c r="A11" s="10">
        <v>7</v>
      </c>
      <c r="B11" s="3" t="s">
        <v>86</v>
      </c>
      <c r="C11" s="11">
        <v>10998000</v>
      </c>
      <c r="D11" s="11">
        <f>7846200+2615400</f>
        <v>10461600</v>
      </c>
      <c r="E11" s="22">
        <f t="shared" si="0"/>
        <v>-536400</v>
      </c>
      <c r="F11" s="11">
        <v>11370000</v>
      </c>
    </row>
    <row r="12" spans="1:6" ht="24.75">
      <c r="A12" s="10">
        <v>8</v>
      </c>
      <c r="B12" s="3" t="s">
        <v>80</v>
      </c>
      <c r="C12" s="11">
        <v>3091200</v>
      </c>
      <c r="D12" s="11">
        <f>1980000+660000</f>
        <v>2640000</v>
      </c>
      <c r="E12" s="22">
        <f t="shared" si="0"/>
        <v>-451200</v>
      </c>
      <c r="F12" s="11">
        <v>3283200</v>
      </c>
    </row>
    <row r="13" spans="1:6" ht="24.75">
      <c r="A13" s="10">
        <v>9</v>
      </c>
      <c r="B13" s="3" t="s">
        <v>81</v>
      </c>
      <c r="C13" s="11">
        <v>58500</v>
      </c>
      <c r="D13" s="11">
        <v>0</v>
      </c>
      <c r="E13" s="22">
        <f t="shared" si="0"/>
        <v>-58500</v>
      </c>
      <c r="F13" s="11">
        <v>58500</v>
      </c>
    </row>
    <row r="14" spans="1:6" ht="24.75">
      <c r="A14" s="10">
        <v>10</v>
      </c>
      <c r="B14" s="3" t="s">
        <v>82</v>
      </c>
      <c r="C14" s="20">
        <v>50000</v>
      </c>
      <c r="D14" s="18">
        <v>0</v>
      </c>
      <c r="E14" s="23">
        <f t="shared" si="0"/>
        <v>-50000</v>
      </c>
      <c r="F14" s="18">
        <v>50000</v>
      </c>
    </row>
    <row r="15" spans="1:6" ht="24.75">
      <c r="A15" s="7"/>
      <c r="B15" s="2" t="s">
        <v>67</v>
      </c>
      <c r="C15" s="19">
        <f>SUM(C5:C14)</f>
        <v>23960920</v>
      </c>
      <c r="D15" s="24">
        <f>SUM(D5:D14)</f>
        <v>22620869</v>
      </c>
      <c r="E15" s="25">
        <f>SUM(E5:E14)</f>
        <v>-1340051</v>
      </c>
      <c r="F15" s="24">
        <f>SUM(F5:F14)</f>
        <v>24629420</v>
      </c>
    </row>
    <row r="16" spans="5:6" ht="24.75">
      <c r="E16" s="26" t="s">
        <v>96</v>
      </c>
      <c r="F16" s="27">
        <v>22445080</v>
      </c>
    </row>
    <row r="17" spans="5:6" ht="25.5" thickBot="1">
      <c r="E17" s="26" t="s">
        <v>67</v>
      </c>
      <c r="F17" s="28">
        <f>SUM(F15:F16)</f>
        <v>47074500</v>
      </c>
    </row>
    <row r="18" ht="25.5" thickTop="1"/>
  </sheetData>
  <sheetProtection/>
  <mergeCells count="2">
    <mergeCell ref="A1:F1"/>
    <mergeCell ref="A2:F2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3">
      <selection activeCell="B20" sqref="B20"/>
    </sheetView>
  </sheetViews>
  <sheetFormatPr defaultColWidth="9.140625" defaultRowHeight="15"/>
  <cols>
    <col min="1" max="1" width="5.421875" style="49" customWidth="1"/>
    <col min="2" max="2" width="64.00390625" style="29" customWidth="1"/>
    <col min="3" max="3" width="15.421875" style="29" customWidth="1"/>
    <col min="4" max="4" width="15.8515625" style="29" customWidth="1"/>
    <col min="5" max="5" width="16.140625" style="29" customWidth="1"/>
    <col min="6" max="6" width="17.57421875" style="29" customWidth="1"/>
    <col min="7" max="8" width="9.00390625" style="29" customWidth="1"/>
    <col min="9" max="9" width="11.7109375" style="29" bestFit="1" customWidth="1"/>
    <col min="10" max="16384" width="9.00390625" style="29" customWidth="1"/>
  </cols>
  <sheetData>
    <row r="1" spans="1:6" ht="23.25">
      <c r="A1" s="230" t="s">
        <v>71</v>
      </c>
      <c r="B1" s="230"/>
      <c r="C1" s="230"/>
      <c r="D1" s="230"/>
      <c r="E1" s="230"/>
      <c r="F1" s="230"/>
    </row>
    <row r="2" spans="1:6" ht="23.25">
      <c r="A2" s="231" t="s">
        <v>72</v>
      </c>
      <c r="B2" s="231"/>
      <c r="C2" s="231"/>
      <c r="D2" s="231"/>
      <c r="E2" s="231"/>
      <c r="F2" s="231"/>
    </row>
    <row r="3" spans="1:6" ht="23.25">
      <c r="A3" s="30" t="s">
        <v>75</v>
      </c>
      <c r="B3" s="30" t="s">
        <v>73</v>
      </c>
      <c r="C3" s="30" t="s">
        <v>97</v>
      </c>
      <c r="D3" s="30" t="s">
        <v>98</v>
      </c>
      <c r="E3" s="30" t="s">
        <v>94</v>
      </c>
      <c r="F3" s="30" t="s">
        <v>88</v>
      </c>
    </row>
    <row r="4" spans="1:6" ht="23.25">
      <c r="A4" s="31"/>
      <c r="B4" s="32" t="s">
        <v>84</v>
      </c>
      <c r="C4" s="31"/>
      <c r="D4" s="33"/>
      <c r="E4" s="33"/>
      <c r="F4" s="34"/>
    </row>
    <row r="5" spans="1:6" ht="23.25">
      <c r="A5" s="35">
        <v>1</v>
      </c>
      <c r="B5" s="36" t="s">
        <v>83</v>
      </c>
      <c r="C5" s="37">
        <v>5483410</v>
      </c>
      <c r="D5" s="38">
        <v>5683387</v>
      </c>
      <c r="E5" s="39">
        <f>D5-C5</f>
        <v>199977</v>
      </c>
      <c r="F5" s="38">
        <v>5683390</v>
      </c>
    </row>
    <row r="6" spans="1:6" ht="23.25">
      <c r="A6" s="40">
        <v>2</v>
      </c>
      <c r="B6" s="12" t="s">
        <v>76</v>
      </c>
      <c r="C6" s="38">
        <v>495170</v>
      </c>
      <c r="D6" s="38">
        <f>162398+234254+75693+54133</f>
        <v>526478</v>
      </c>
      <c r="E6" s="39">
        <f aca="true" t="shared" si="0" ref="E6:E14">D6-C6</f>
        <v>31308</v>
      </c>
      <c r="F6" s="38">
        <v>497250</v>
      </c>
    </row>
    <row r="7" spans="1:6" ht="23.25">
      <c r="A7" s="40">
        <v>3</v>
      </c>
      <c r="B7" s="12" t="s">
        <v>77</v>
      </c>
      <c r="C7" s="38">
        <v>1157700</v>
      </c>
      <c r="D7" s="38">
        <f>418100+489000+158000+135600</f>
        <v>1200700</v>
      </c>
      <c r="E7" s="39">
        <f t="shared" si="0"/>
        <v>43000</v>
      </c>
      <c r="F7" s="38">
        <v>1107300</v>
      </c>
    </row>
    <row r="8" spans="1:6" ht="23.25">
      <c r="A8" s="40">
        <v>4</v>
      </c>
      <c r="B8" s="12" t="s">
        <v>78</v>
      </c>
      <c r="C8" s="38">
        <v>22000</v>
      </c>
      <c r="D8" s="38"/>
      <c r="E8" s="39">
        <f t="shared" si="0"/>
        <v>-22000</v>
      </c>
      <c r="F8" s="38">
        <v>20000</v>
      </c>
    </row>
    <row r="9" spans="1:6" ht="23.25">
      <c r="A9" s="40">
        <v>5</v>
      </c>
      <c r="B9" s="12" t="s">
        <v>79</v>
      </c>
      <c r="C9" s="38">
        <v>288000</v>
      </c>
      <c r="D9" s="38">
        <f>216000+72000</f>
        <v>288000</v>
      </c>
      <c r="E9" s="39">
        <f t="shared" si="0"/>
        <v>0</v>
      </c>
      <c r="F9" s="38">
        <v>300000</v>
      </c>
    </row>
    <row r="10" spans="1:6" ht="23.25">
      <c r="A10" s="40">
        <v>6</v>
      </c>
      <c r="B10" s="12" t="s">
        <v>85</v>
      </c>
      <c r="C10" s="38">
        <v>2316940</v>
      </c>
      <c r="D10" s="38">
        <v>2747380</v>
      </c>
      <c r="E10" s="39">
        <f t="shared" si="0"/>
        <v>430440</v>
      </c>
      <c r="F10" s="38">
        <v>2247180</v>
      </c>
    </row>
    <row r="11" spans="1:6" ht="23.25">
      <c r="A11" s="40">
        <v>7</v>
      </c>
      <c r="B11" s="12" t="s">
        <v>86</v>
      </c>
      <c r="C11" s="38">
        <v>10998000</v>
      </c>
      <c r="D11" s="38">
        <f>7846200+2615400</f>
        <v>10461600</v>
      </c>
      <c r="E11" s="39">
        <f t="shared" si="0"/>
        <v>-536400</v>
      </c>
      <c r="F11" s="38">
        <v>11163600</v>
      </c>
    </row>
    <row r="12" spans="1:6" ht="23.25">
      <c r="A12" s="40">
        <v>8</v>
      </c>
      <c r="B12" s="12" t="s">
        <v>80</v>
      </c>
      <c r="C12" s="38">
        <v>3091200</v>
      </c>
      <c r="D12" s="38">
        <f>1980000+660000</f>
        <v>2640000</v>
      </c>
      <c r="E12" s="39">
        <f t="shared" si="0"/>
        <v>-451200</v>
      </c>
      <c r="F12" s="38">
        <v>3283200</v>
      </c>
    </row>
    <row r="13" spans="1:6" ht="23.25">
      <c r="A13" s="40">
        <v>9</v>
      </c>
      <c r="B13" s="12" t="s">
        <v>81</v>
      </c>
      <c r="C13" s="38">
        <v>58500</v>
      </c>
      <c r="D13" s="38">
        <v>0</v>
      </c>
      <c r="E13" s="39">
        <f t="shared" si="0"/>
        <v>-58500</v>
      </c>
      <c r="F13" s="38">
        <v>58000</v>
      </c>
    </row>
    <row r="14" spans="1:6" ht="23.25">
      <c r="A14" s="40">
        <v>10</v>
      </c>
      <c r="B14" s="12" t="s">
        <v>82</v>
      </c>
      <c r="C14" s="41">
        <v>50000</v>
      </c>
      <c r="D14" s="42">
        <v>0</v>
      </c>
      <c r="E14" s="43">
        <f t="shared" si="0"/>
        <v>-50000</v>
      </c>
      <c r="F14" s="42">
        <v>50000</v>
      </c>
    </row>
    <row r="15" spans="1:6" ht="23.25">
      <c r="A15" s="44"/>
      <c r="B15" s="45" t="s">
        <v>67</v>
      </c>
      <c r="C15" s="46">
        <f>SUM(C5:C14)</f>
        <v>23960920</v>
      </c>
      <c r="D15" s="47">
        <f>SUM(D5:D14)</f>
        <v>23547545</v>
      </c>
      <c r="E15" s="48">
        <f>SUM(E5:E14)</f>
        <v>-413375</v>
      </c>
      <c r="F15" s="47">
        <f>SUM(F5:F14)</f>
        <v>24409920</v>
      </c>
    </row>
    <row r="16" spans="5:6" ht="23.25">
      <c r="E16" s="50" t="s">
        <v>96</v>
      </c>
      <c r="F16" s="51">
        <v>22445080</v>
      </c>
    </row>
    <row r="17" spans="5:6" ht="24" thickBot="1">
      <c r="E17" s="50" t="s">
        <v>67</v>
      </c>
      <c r="F17" s="52">
        <f>SUM(F15:F16)</f>
        <v>46855000</v>
      </c>
    </row>
    <row r="18" ht="24" thickTop="1"/>
    <row r="21" spans="1:6" ht="23.25">
      <c r="A21" s="232" t="s">
        <v>75</v>
      </c>
      <c r="B21" s="232" t="s">
        <v>73</v>
      </c>
      <c r="C21" s="232" t="s">
        <v>97</v>
      </c>
      <c r="D21" s="232" t="s">
        <v>98</v>
      </c>
      <c r="E21" s="55" t="s">
        <v>99</v>
      </c>
      <c r="F21" s="55" t="s">
        <v>100</v>
      </c>
    </row>
    <row r="22" spans="1:6" ht="23.25">
      <c r="A22" s="233"/>
      <c r="B22" s="233"/>
      <c r="C22" s="233"/>
      <c r="D22" s="233"/>
      <c r="E22" s="60" t="s">
        <v>101</v>
      </c>
      <c r="F22" s="56"/>
    </row>
    <row r="23" spans="1:6" ht="23.25">
      <c r="A23" s="53"/>
      <c r="B23" s="54" t="s">
        <v>84</v>
      </c>
      <c r="C23" s="53"/>
      <c r="D23" s="33"/>
      <c r="E23" s="33"/>
      <c r="F23" s="33"/>
    </row>
    <row r="24" spans="1:6" ht="23.25">
      <c r="A24" s="35">
        <v>1</v>
      </c>
      <c r="B24" s="36" t="s">
        <v>83</v>
      </c>
      <c r="C24" s="37">
        <v>5483410</v>
      </c>
      <c r="D24" s="38">
        <v>5683387</v>
      </c>
      <c r="E24" s="57">
        <v>5686390</v>
      </c>
      <c r="F24" s="38">
        <f aca="true" t="shared" si="1" ref="F24:F33">F5</f>
        <v>5683390</v>
      </c>
    </row>
    <row r="25" spans="1:6" ht="23.25">
      <c r="A25" s="40">
        <v>2</v>
      </c>
      <c r="B25" s="12" t="s">
        <v>76</v>
      </c>
      <c r="C25" s="38">
        <v>495170</v>
      </c>
      <c r="D25" s="38">
        <f>162398+234254+75693+54133</f>
        <v>526478</v>
      </c>
      <c r="E25" s="57">
        <v>526480</v>
      </c>
      <c r="F25" s="38">
        <f t="shared" si="1"/>
        <v>497250</v>
      </c>
    </row>
    <row r="26" spans="1:6" ht="23.25">
      <c r="A26" s="40">
        <v>3</v>
      </c>
      <c r="B26" s="12" t="s">
        <v>77</v>
      </c>
      <c r="C26" s="38">
        <v>1157700</v>
      </c>
      <c r="D26" s="38">
        <f>418100+489000+158000+135600</f>
        <v>1200700</v>
      </c>
      <c r="E26" s="57">
        <v>1200700</v>
      </c>
      <c r="F26" s="38">
        <f t="shared" si="1"/>
        <v>1107300</v>
      </c>
    </row>
    <row r="27" spans="1:6" ht="23.25">
      <c r="A27" s="40">
        <v>4</v>
      </c>
      <c r="B27" s="12" t="s">
        <v>78</v>
      </c>
      <c r="C27" s="38">
        <v>22000</v>
      </c>
      <c r="D27" s="38">
        <v>0</v>
      </c>
      <c r="E27" s="57">
        <v>0</v>
      </c>
      <c r="F27" s="38">
        <f t="shared" si="1"/>
        <v>20000</v>
      </c>
    </row>
    <row r="28" spans="1:6" ht="23.25">
      <c r="A28" s="40">
        <v>5</v>
      </c>
      <c r="B28" s="12" t="s">
        <v>79</v>
      </c>
      <c r="C28" s="38">
        <v>288000</v>
      </c>
      <c r="D28" s="38">
        <f>216000+72000</f>
        <v>288000</v>
      </c>
      <c r="E28" s="57">
        <v>288000</v>
      </c>
      <c r="F28" s="38">
        <f t="shared" si="1"/>
        <v>300000</v>
      </c>
    </row>
    <row r="29" spans="1:6" ht="23.25">
      <c r="A29" s="40">
        <v>6</v>
      </c>
      <c r="B29" s="12" t="s">
        <v>85</v>
      </c>
      <c r="C29" s="38">
        <v>2316940</v>
      </c>
      <c r="D29" s="38">
        <v>2747380</v>
      </c>
      <c r="E29" s="57">
        <v>2747380</v>
      </c>
      <c r="F29" s="38">
        <f t="shared" si="1"/>
        <v>2247180</v>
      </c>
    </row>
    <row r="30" spans="1:6" ht="23.25">
      <c r="A30" s="40">
        <v>7</v>
      </c>
      <c r="B30" s="12" t="s">
        <v>86</v>
      </c>
      <c r="C30" s="38">
        <v>10998000</v>
      </c>
      <c r="D30" s="62">
        <f>7846200+2615400</f>
        <v>10461600</v>
      </c>
      <c r="E30" s="61">
        <v>10461600</v>
      </c>
      <c r="F30" s="38">
        <f t="shared" si="1"/>
        <v>11163600</v>
      </c>
    </row>
    <row r="31" spans="1:6" ht="23.25">
      <c r="A31" s="40">
        <v>8</v>
      </c>
      <c r="B31" s="12" t="s">
        <v>80</v>
      </c>
      <c r="C31" s="38">
        <v>3091200</v>
      </c>
      <c r="D31" s="62">
        <f>1980000+660000</f>
        <v>2640000</v>
      </c>
      <c r="E31" s="61">
        <v>2640000</v>
      </c>
      <c r="F31" s="38">
        <f t="shared" si="1"/>
        <v>3283200</v>
      </c>
    </row>
    <row r="32" spans="1:6" ht="23.25">
      <c r="A32" s="40">
        <v>9</v>
      </c>
      <c r="B32" s="12" t="s">
        <v>81</v>
      </c>
      <c r="C32" s="38">
        <v>58500</v>
      </c>
      <c r="D32" s="38">
        <v>0</v>
      </c>
      <c r="E32" s="57">
        <v>0</v>
      </c>
      <c r="F32" s="38">
        <f t="shared" si="1"/>
        <v>58000</v>
      </c>
    </row>
    <row r="33" spans="1:6" ht="23.25">
      <c r="A33" s="40">
        <v>10</v>
      </c>
      <c r="B33" s="12" t="s">
        <v>82</v>
      </c>
      <c r="C33" s="41">
        <v>50000</v>
      </c>
      <c r="D33" s="42">
        <v>0</v>
      </c>
      <c r="E33" s="58">
        <v>0</v>
      </c>
      <c r="F33" s="42">
        <f t="shared" si="1"/>
        <v>50000</v>
      </c>
    </row>
    <row r="34" spans="1:6" ht="23.25">
      <c r="A34" s="44"/>
      <c r="B34" s="45" t="s">
        <v>67</v>
      </c>
      <c r="C34" s="46">
        <f>SUM(C24:C33)</f>
        <v>23960920</v>
      </c>
      <c r="D34" s="47">
        <f>SUM(D24:D33)</f>
        <v>23547545</v>
      </c>
      <c r="E34" s="59">
        <f>SUM(E24:E33)</f>
        <v>23550550</v>
      </c>
      <c r="F34" s="59">
        <f>SUM(F24:F33)</f>
        <v>24409920</v>
      </c>
    </row>
    <row r="35" spans="1:6" ht="23.25">
      <c r="A35" s="63"/>
      <c r="B35" s="64"/>
      <c r="C35" s="65"/>
      <c r="D35" s="65"/>
      <c r="E35" s="50" t="s">
        <v>96</v>
      </c>
      <c r="F35" s="51">
        <v>22445080</v>
      </c>
    </row>
    <row r="36" spans="1:6" ht="24" thickBot="1">
      <c r="A36" s="63"/>
      <c r="B36" s="64"/>
      <c r="C36" s="65"/>
      <c r="D36" s="65"/>
      <c r="E36" s="50" t="s">
        <v>67</v>
      </c>
      <c r="F36" s="52">
        <f>SUM(F34:F35)</f>
        <v>46855000</v>
      </c>
    </row>
    <row r="37" ht="24" thickTop="1">
      <c r="I37" s="6">
        <f>C30-D30</f>
        <v>536400</v>
      </c>
    </row>
    <row r="38" spans="2:9" ht="23.25">
      <c r="B38" s="29" t="s">
        <v>102</v>
      </c>
      <c r="C38" s="29" t="s">
        <v>105</v>
      </c>
      <c r="I38" s="6">
        <f>C31-D31</f>
        <v>451200</v>
      </c>
    </row>
    <row r="39" spans="2:3" ht="23.25">
      <c r="B39" s="29" t="s">
        <v>103</v>
      </c>
      <c r="C39" s="29" t="s">
        <v>104</v>
      </c>
    </row>
    <row r="40" spans="2:3" ht="23.25">
      <c r="B40" s="29" t="s">
        <v>106</v>
      </c>
      <c r="C40" s="29" t="s">
        <v>107</v>
      </c>
    </row>
  </sheetData>
  <sheetProtection/>
  <mergeCells count="6">
    <mergeCell ref="A1:F1"/>
    <mergeCell ref="A2:F2"/>
    <mergeCell ref="A21:A22"/>
    <mergeCell ref="B21:B22"/>
    <mergeCell ref="C21:C22"/>
    <mergeCell ref="D21:D22"/>
  </mergeCells>
  <printOptions/>
  <pageMargins left="0.31496062992125984" right="0.11811023622047245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HP</cp:lastModifiedBy>
  <cp:lastPrinted>2020-08-27T01:59:41Z</cp:lastPrinted>
  <dcterms:created xsi:type="dcterms:W3CDTF">2012-05-09T20:15:51Z</dcterms:created>
  <dcterms:modified xsi:type="dcterms:W3CDTF">2020-08-27T02:04:08Z</dcterms:modified>
  <cp:category/>
  <cp:version/>
  <cp:contentType/>
  <cp:contentStatus/>
</cp:coreProperties>
</file>