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firstSheet="1" activeTab="4"/>
  </bookViews>
  <sheets>
    <sheet name="รายงานประมาณการรายรับ 61 " sheetId="1" r:id="rId1"/>
    <sheet name="รายงานประมาณการรายรับ 61 ปอปุ๊" sheetId="2" r:id="rId2"/>
    <sheet name="รายงานประมาณการรายรับ 60 (ok)" sheetId="3" r:id="rId3"/>
    <sheet name="Sheet1" sheetId="4" r:id="rId4"/>
    <sheet name="Sheet1 (2)" sheetId="5" r:id="rId5"/>
    <sheet name="61.1" sheetId="6" r:id="rId6"/>
    <sheet name="61" sheetId="7" r:id="rId7"/>
    <sheet name="2507" sheetId="8" r:id="rId8"/>
    <sheet name="ร้อยละ เงินอุดหนุน" sheetId="9" r:id="rId9"/>
  </sheets>
  <definedNames>
    <definedName name="_xlnm.Print_Titles" localSheetId="2">'รายงานประมาณการรายรับ 60 (ok)'!$1:$7</definedName>
    <definedName name="_xlnm.Print_Titles" localSheetId="0">'รายงานประมาณการรายรับ 61 '!$1:$7</definedName>
    <definedName name="_xlnm.Print_Titles" localSheetId="1">'รายงานประมาณการรายรับ 61 ปอปุ๊'!$1:$7</definedName>
  </definedNames>
  <calcPr fullCalcOnLoad="1"/>
</workbook>
</file>

<file path=xl/sharedStrings.xml><?xml version="1.0" encoding="utf-8"?>
<sst xmlns="http://schemas.openxmlformats.org/spreadsheetml/2006/main" count="451" uniqueCount="191">
  <si>
    <t>องค์การบริหารส่วนตำบลเวียงตาล</t>
  </si>
  <si>
    <t>อำเภอห้างฉัตร จังหวัดลำปาง</t>
  </si>
  <si>
    <t>หมวดรายรับ</t>
  </si>
  <si>
    <t>รายรับจริง</t>
  </si>
  <si>
    <t>ปี 2555</t>
  </si>
  <si>
    <t>ประมาณการ</t>
  </si>
  <si>
    <t>รายงานประมาณการรายรับ</t>
  </si>
  <si>
    <t>หมวด ภาษีอากร</t>
  </si>
  <si>
    <t xml:space="preserve">   ประเภท ภาษีโรงเรือนและที่ดิน</t>
  </si>
  <si>
    <t xml:space="preserve">   ประเภท ภาษีบำรุงท้องที่</t>
  </si>
  <si>
    <t xml:space="preserve">   ประเภท ภาษีป้าย</t>
  </si>
  <si>
    <t>รวมหมวดภาษีอากร</t>
  </si>
  <si>
    <t>หมวด ค่าธรรมเนียม ค่าปรับและใบอนุญาต</t>
  </si>
  <si>
    <t xml:space="preserve">   ประเภท ค่าธรรมเนียมในการออกหนังสือรับรองการแจ้งสถานที่</t>
  </si>
  <si>
    <t>จำหน่ายอาหารหรือสะสมอาหาร</t>
  </si>
  <si>
    <t xml:space="preserve">   ประเภท ค่าธรรมเนียมปิด โปรย ติดตั้ง แผ่นประกาศ หรือแผ่นปลิว</t>
  </si>
  <si>
    <t>เพื่อการโฆษณา</t>
  </si>
  <si>
    <t xml:space="preserve">  ประเภท ค่าธรรมเนียมจดทะเบียนพาณิชย์</t>
  </si>
  <si>
    <t xml:space="preserve">  ประเภท ค่าธรรมเนียมอื่นๆ</t>
  </si>
  <si>
    <t xml:space="preserve">  ประเภท ค่าปรับผู้กระทำผิดกฎหมายจราจรทางบก</t>
  </si>
  <si>
    <t xml:space="preserve">  ประเภท ค่าปรับการผิดสัญญา</t>
  </si>
  <si>
    <t xml:space="preserve">  ประเภท ค่าปรับอื่นๆ</t>
  </si>
  <si>
    <t xml:space="preserve">  ประเภท ค่าใบอนุญาตจัดตั้งสถานที่จำหน่ายอาหารหรือสถานที่</t>
  </si>
  <si>
    <t>สะสมอาหารในครัว หรือพื้นที่ใด ซึ่งมีพื้นที่เกิน 200 ตารางเมตร</t>
  </si>
  <si>
    <t xml:space="preserve">  ประเภท ค่าใบอนุญาตให้ตั้งตลาดเอกชน</t>
  </si>
  <si>
    <t xml:space="preserve">  ประเภท ค่าใบอนุญาตประกอบการค้าสำหรับกิจการที่เป็น</t>
  </si>
  <si>
    <t>อันตรายต่อสุขภาพ</t>
  </si>
  <si>
    <t xml:space="preserve">  ประเภท ค่าใบอนุญาตอื่นๆ</t>
  </si>
  <si>
    <t>รวมหมวดค่าธรรมเนียม ค่าปรับและค่าใบอนุญาต</t>
  </si>
  <si>
    <t>หมวดรายได้จากทรัพย์สิน</t>
  </si>
  <si>
    <t xml:space="preserve">  ประเภท ค่าเช่าหรือค่าบริการสถานที่</t>
  </si>
  <si>
    <t xml:space="preserve">  ประเภท ดอกเบี้ย</t>
  </si>
  <si>
    <t>รวมหมวดรายได้จากทรัพย์สิน</t>
  </si>
  <si>
    <t>หมวดรายได้เบ็ดเตล็ด</t>
  </si>
  <si>
    <t xml:space="preserve">  ประเภท ค่าขายแบบแปลน</t>
  </si>
  <si>
    <t xml:space="preserve">  ประเภท ค่ารับรองสำเนาและถ่ายเอกสาร</t>
  </si>
  <si>
    <t xml:space="preserve">  ประเภท รายได้เบ็ดเตล็ด</t>
  </si>
  <si>
    <t xml:space="preserve">   - ค่าบริการระบบการแพทย์ฉุกเฉิน</t>
  </si>
  <si>
    <t xml:space="preserve">   - เบ็ดเตล็ดอื่นๆ</t>
  </si>
  <si>
    <t>รวมหมวดรายได้เบ็ดเตล็ด</t>
  </si>
  <si>
    <t>หมวดภาษีจัดสรร</t>
  </si>
  <si>
    <t xml:space="preserve">  ประเภท ภาษีมูลค่าเพิ่มตาม พ.ร.บ.กำหนดแผนฯ</t>
  </si>
  <si>
    <t xml:space="preserve">  ประเภท ภาษีมูลค่าเพิ่มตาม พ.ร.บ.จัดสรรรายได้ฯ</t>
  </si>
  <si>
    <t xml:space="preserve">  ประเภท ภาษีธุรกิจเฉพาะ</t>
  </si>
  <si>
    <t xml:space="preserve">  ประเภท ภาษีสุรา</t>
  </si>
  <si>
    <t xml:space="preserve">  ประเภท ภาษีสรรพสามิต</t>
  </si>
  <si>
    <t xml:space="preserve">  ประเภท ค่าภาคหลวงและค่าธรรมเนียมตามกฎหมายว่าด้วยป่าไม้</t>
  </si>
  <si>
    <t xml:space="preserve">  ประเภท ค่าภาคหลวงแร่</t>
  </si>
  <si>
    <t xml:space="preserve">  ประเภท ค่าภาคหลวงปิโตรเลียม</t>
  </si>
  <si>
    <t xml:space="preserve">  ประเภท เงินที่เก็บตามกฎหมายว่าด้วยอุทยานแห่งชาติ</t>
  </si>
  <si>
    <t>กฎหมายที่ดิน</t>
  </si>
  <si>
    <t xml:space="preserve">  ประเภท ภาษีจัดสรรอื่นๆ</t>
  </si>
  <si>
    <t>รวมหมวดภาษีจัดสรร</t>
  </si>
  <si>
    <t>หมวดเงินอุดหนุนทั่วไป</t>
  </si>
  <si>
    <t xml:space="preserve">  ประเภท เงินอุดหนุนทั่วไปสำหรับดำเนินการตามอำนาจหน้าที่และ</t>
  </si>
  <si>
    <t>ภารกิจถ่ายโอนเลือกทำ</t>
  </si>
  <si>
    <t>รวมหมวดเงินอุดหนุนทั่วไป</t>
  </si>
  <si>
    <t>รวมทุกหมวด</t>
  </si>
  <si>
    <t>ปี 2556</t>
  </si>
  <si>
    <t xml:space="preserve">  ประเภท ค่าใบอนุญาตเกี่ยวกับการควบคุมอาคาร</t>
  </si>
  <si>
    <t xml:space="preserve">   ประเภท ค่าธรรมเนียมเกี่ยวกับการควบคุมอาคาร</t>
  </si>
  <si>
    <t>ปี 2557</t>
  </si>
  <si>
    <t xml:space="preserve">  ประเภท ค่าธรรมเนียมเกี่ยวกับใบอนุญาตการพนัน</t>
  </si>
  <si>
    <t>หมวดรายได้จากทุน</t>
  </si>
  <si>
    <t xml:space="preserve">   - ค่าขายทอดตลอดทรัพย์สิน</t>
  </si>
  <si>
    <t>รวมหมวดรายได้จากทุน</t>
  </si>
  <si>
    <t xml:space="preserve">  ประเภท ค่าธรรมเนียมเกี่ยวกับการขายสุรา</t>
  </si>
  <si>
    <t>ยอดต่าง</t>
  </si>
  <si>
    <t>(%)</t>
  </si>
  <si>
    <t xml:space="preserve">  ประเภท ภาษีและค่าธรรมเนียมรถยนต์และล้อเลื่อน</t>
  </si>
  <si>
    <t xml:space="preserve">  ประเภท ค่าธรรมเนียมจดทะเบียนสิทธิและนิติกรรมตามประมวลกฎหมาย</t>
  </si>
  <si>
    <t>ประจำปีงบประมาณ พ.ศ. 2560</t>
  </si>
  <si>
    <t>ปี 2558</t>
  </si>
  <si>
    <t>ปี 2560</t>
  </si>
  <si>
    <t xml:space="preserve">  ประเภทเงินอุดหนุนสำหรับสนับสนุนอาหารกลางวัน</t>
  </si>
  <si>
    <t xml:space="preserve">  ประเภทเงินอุดหนุนสำหรับส่งเสริมศักยภาพการจัดการศึกษาของท้องถิ่น</t>
  </si>
  <si>
    <t xml:space="preserve">  ประเภทเงินอุดหนุนสำหรับสนับสนุนการสงเคราห์เบี้ยยังชีพผู้ป่วยเอดส์</t>
  </si>
  <si>
    <t xml:space="preserve">  ประเภทเงินอุดหนุนสำหรับสนับสนุนศูนย์พัฒนาเด็กเล็ก</t>
  </si>
  <si>
    <t xml:space="preserve">   ประเภทเงินอุดหนุนค่าใช้จ่ายสำหรับสนับสนุนการสร้างหลักประกันรายได้ให้แก่ผู้สูงอายุ</t>
  </si>
  <si>
    <t xml:space="preserve">   ประเภทเงินอุดหนุนค่าใช้จ่ายสำหรับสนับสนุนสวัสดิการทางสังคมให้แก่ผู้พิการหรือทุพพลภาพ</t>
  </si>
  <si>
    <t xml:space="preserve">   ประเภทเงินอุดหนุนสำหรับสนับสนุนป้องกันแก้ไขปัญหาไฟป่าและหมอกควัน</t>
  </si>
  <si>
    <t xml:space="preserve">  ประเภทเงินอุดหนุนสำหรับป้องกันและแก้ไขปัญหายาเสพติด</t>
  </si>
  <si>
    <t>รวมหมวดรายได้</t>
  </si>
  <si>
    <t>อุดหนุนเดิม</t>
  </si>
  <si>
    <t>รวม</t>
  </si>
  <si>
    <t>เพิ่มอุดหนุนใหม่</t>
  </si>
  <si>
    <t>รวมทั้งสิ้น</t>
  </si>
  <si>
    <t xml:space="preserve">  ประเภทเงินอุดหนุนสำหรับสนับสนุนอาหารเสริม(นม)</t>
  </si>
  <si>
    <t xml:space="preserve">     1. นางแววดาว  ทรายสมุทร  ผช.หน.ศพด.บ้านสันทราย เดือนละ 15,000 บาท</t>
  </si>
  <si>
    <t xml:space="preserve">     2. นางกัลยา  หวังดี  ผช.หน.ศพด.บ้านยางอ้อย เดือนละ 15,000 บาท</t>
  </si>
  <si>
    <t xml:space="preserve">     3. นางนฤมล  อุตมะ  ครูผู้ดูแลเด็ก เดือนละ 9,400 บาท</t>
  </si>
  <si>
    <t xml:space="preserve">     4. นางกชพร  ชัยชนะ  ครูผู้ดูแลเด็ก เดือนละ 9,400 บาท</t>
  </si>
  <si>
    <t xml:space="preserve">     5. นางสาวอรทัย  ตุ้ยเต็มวงศ์  ครูผู้ดูแลเด็ก เดือนละ 9,400 บาท</t>
  </si>
  <si>
    <t>เงินเดือน ค่าตอบแทน วัสดุรายหัว</t>
  </si>
  <si>
    <t>รวมเงินอุดหนุนทั้งสิ้น</t>
  </si>
  <si>
    <t>คงเหลืองบพัฒนา</t>
  </si>
  <si>
    <t>ประมาณการรายรับเงินอุดหนุนทั่วไป ตามข้อบัญญัติงบประมาณรายจ่ายประจำปี พ.ศ. 2560</t>
  </si>
  <si>
    <t>องค์การบริหารส่วนตำบลเวียงตาล อำเภอห้างฉัตร  จังหวัดลำปาง</t>
  </si>
  <si>
    <t>ประเภท</t>
  </si>
  <si>
    <t>จำนวนเงิน</t>
  </si>
  <si>
    <t>ลำดับ</t>
  </si>
  <si>
    <t>ประเภทเงินอุดหนุนสำหรับสนับสนุนอาหารเสริม(นม)</t>
  </si>
  <si>
    <t>ประเภทเงินอุดหนุนสำหรับสนับสนุนอาหารกลางวัน</t>
  </si>
  <si>
    <t>ประเภทเงินอุดหนุนสำหรับส่งเสริมศักยภาพการจัดการศึกษาของท้องถิ่น</t>
  </si>
  <si>
    <t>ประเภทเงินอุดหนุนสำหรับสนับสนุนการสงเคราห์เบี้ยยังชีพผู้ป่วยเอดส์</t>
  </si>
  <si>
    <t>ประเภทเงินอุดหนุนค่าใช้จ่ายสำหรับสนับสนุนสวัสดิการทางสังคมให้แก่ผู้พิการ</t>
  </si>
  <si>
    <t>ประเภทเงินอุดหนุนสำหรับป้องกันและแก้ไขปัญหายาเสพติด</t>
  </si>
  <si>
    <t>ประเภทเงินอุดหนุนสำหรับสนับสนุนป้องกันแก้ไขปัญหาไฟป่าและหมอกควัน</t>
  </si>
  <si>
    <t>ประเภท เงินอุดหนุนทั่วไปสำหรับดำเนินการตามอำนาจหน้าที่และภารกิจถ่ายโอนเลือกทำ</t>
  </si>
  <si>
    <t>เงินอุดหนุนทั่วไปกำหนดวัตถุประสงค์</t>
  </si>
  <si>
    <t>อุดหนุนทั่วไป</t>
  </si>
  <si>
    <t xml:space="preserve">ประเภทเงินอุดหนุนสำหรับสนับสนุนศูนย์พัฒนาเด็กเล็ก </t>
  </si>
  <si>
    <t>ประเภทเงินอุดหนุนค่าใช้จ่ายสำหรับสนับสนุนผู้สูงอายุ</t>
  </si>
  <si>
    <t>ประจำปีงบประมาณ พ.ศ. 2561</t>
  </si>
  <si>
    <t>ปี 2559</t>
  </si>
  <si>
    <t>ปี 2561</t>
  </si>
  <si>
    <t>5.ประเภทเงินอุดหนุนสำหรับสนับสนุนการสงเคราห์เบี้ยยังชีพผู้ป่วยเอดส์</t>
  </si>
  <si>
    <t>1.ประเภทเงินอุดหนุนทั่วไปสำหรับดำเนินการตามอำนาจหน้าที่และภารกิจถ่ายโอนเลือกทำ</t>
  </si>
  <si>
    <t>2.ประเภทเงินอุดหนุนสำหรับสนับสนุนอาหารเสริม(นม)</t>
  </si>
  <si>
    <t>3. ประเภทเงินอุดหนุนสำหรับสนับสนุนอาหารกลางวัน</t>
  </si>
  <si>
    <t>4. ประเภทเงินอุดหนุนสำหรับส่งเสริมศักยภาพการจัดการศึกษาของท้องถิ่น</t>
  </si>
  <si>
    <t>6.ประเภทเงินอุดหนุนสำหรับสนับสนุนศูนย์พัฒนาเด็กเล็ก</t>
  </si>
  <si>
    <t>9.ประเภทเงินอุดหนุนสำหรับป้องกันและแก้ไขปัญหายาเสพติด</t>
  </si>
  <si>
    <t>10.ประเภทเงินอุดหนุนสำหรับสนับสนุนป้องกันแก้ไขปัญหาไฟป่าและหมอกควัน</t>
  </si>
  <si>
    <t xml:space="preserve">     ศพด. เด็กเล็กจำนวน 97 คน ๆ ละ 7.50 บาท จำนวน 260 วัน</t>
  </si>
  <si>
    <t xml:space="preserve">     ครูผู้ดูแลเด็ก จำนวน 10 คน ๆ ละ 2,000 บาท</t>
  </si>
  <si>
    <t xml:space="preserve">     โรงเรียนเด็กนักเรียนจำนวน 158 คน ๆ ละ 20  บาท จำนวน 200 วัน</t>
  </si>
  <si>
    <t xml:space="preserve">     ศพด.เด็กเล็กจำนวน 97 คน ๆ ละ 20  บาท จำนวน 245  วัน</t>
  </si>
  <si>
    <t>ประมาณการงบประมาณรายจ่ายประจำปี 2561</t>
  </si>
  <si>
    <t xml:space="preserve">     6. นางสาวิตรี  ศรีทิพย์วงศ์  ครูผู้ดูแลเด็ก เดือนละ 9,400 บาท</t>
  </si>
  <si>
    <t xml:space="preserve">     โรงเรียน เด็กนักเรียนจำนวน 158 คน ๆ ละ 7.50 บาท จำนวน 260 วัน</t>
  </si>
  <si>
    <t xml:space="preserve">    3. นางจุฑามาศ  โยปินตา  เดือนละ 23,360 บาท</t>
  </si>
  <si>
    <t>7.ประเภทเงินอุดหนุนค่าใช้จ่ายสำหรับสนับสนุน ผู้สูงอายุ (เบี้ยยังชีพผู้สูงอายุ)</t>
  </si>
  <si>
    <t xml:space="preserve">  6.1  เงินเดือนสำหรับข้าราชการครู ครูคศ.1  จำนวน 4 คน  แยกเป็น</t>
  </si>
  <si>
    <t xml:space="preserve">   6.5 ค่าสวัสดิการสำหรับข้าราชการครูผู้ดูแลเด็ก, ครู ค.ศ. 1 (ค่าการศึกษาของบุตร)</t>
  </si>
  <si>
    <t xml:space="preserve">   6.6 ค่าจัดการเรียนการสอน (ค่าวัสดุรายหัว จำนวนเด็กเล็ก 97 คน ๆ ละ 1,700 บาท)</t>
  </si>
  <si>
    <t xml:space="preserve">   6.7  ทุนการศึกษาสำหรับครูผู้ดูแลเด็ก  (นางสาวสาวิตรี  ศรีทิพย์วงศ์ จำนวน 1 เทอม)</t>
  </si>
  <si>
    <t xml:space="preserve">  6.2 ค่าตอบแทนพนักงานจ้างตามภารกิจ จำนวน 6 คน แยกเป็น</t>
  </si>
  <si>
    <t xml:space="preserve">   6.3 เงินเพิ่มค่าครองชีพชั่วคราวสำหรับพนักงานจ้างตามภารกิจ จำนวน 4 คน ๆ ละ 2,000 บาท</t>
  </si>
  <si>
    <t xml:space="preserve">   6.4 เงินประกันสังคมของพนักงานจ้าง  (ยอดรวม 811,200 *5%)</t>
  </si>
  <si>
    <t>8.ประเภทเงินอุดหนุนค่าใช้จ่ายสำหรับสนับสนุนสวัสดิการทางสังคมให้แก่ผู้พิการ (เบี้ยยังชีพผู้พิการ)</t>
  </si>
  <si>
    <t>สูง/ต่ำ</t>
  </si>
  <si>
    <t>รับจริง</t>
  </si>
  <si>
    <t>รายได้หมวดอื่น</t>
  </si>
  <si>
    <t xml:space="preserve">    1. นางสมร  วงศ์อุตร เดือนละ  23,360  บาท</t>
  </si>
  <si>
    <t xml:space="preserve">    2.นางจุรีภรณ์  ยอดดี  เดือนละ 22,890 บาท</t>
  </si>
  <si>
    <t xml:space="preserve">    4. นางสาวทิพวรรณ  สันแดง  เดือนละ 22,450 บาท</t>
  </si>
  <si>
    <t xml:space="preserve">    - ผู้ป่วย จำนวน 50  คน ๆ ละ 500 บาท ( ผู้มีสิทธิ์ 48 คน ตั้งรับ 2 คน รวม 50 คน)</t>
  </si>
  <si>
    <t xml:space="preserve">     - จำนวน 342 คน ๆ ละ 800 บาท ( ผู้มีสิทธิ์ 312 คน ตั้งรับ 20 คน)</t>
  </si>
  <si>
    <t xml:space="preserve">   -ช่วงอายุ 60-69 จำนวน 844 คน ๆ ละ 600 บาท</t>
  </si>
  <si>
    <t xml:space="preserve">   -ช่วงอายุ 70-79 จำนวน 330 คน ๆ ละ 700 บาท</t>
  </si>
  <si>
    <t xml:space="preserve">   -ช่วงอายุ 80-89 จำนวน 209 คน ๆ ละ 800 บาท</t>
  </si>
  <si>
    <t xml:space="preserve">   - 90 ปี ขี้นไป  จำนวน 37 คน ๆ ละ 1,000 บาท</t>
  </si>
  <si>
    <t>ประมาณการ ปี 60</t>
  </si>
  <si>
    <t>รับจริง ปี 60</t>
  </si>
  <si>
    <t>ประมาณการ ปี 61</t>
  </si>
  <si>
    <t xml:space="preserve">ประมาณการ ปี 61 </t>
  </si>
  <si>
    <t>เทียบรับจริง 60</t>
  </si>
  <si>
    <t>เงินผู้สูงอายุ ตั้งไว้ 10,998,000 บาท รับจริง 10,461,600 บาท  = ( -536,400 บาท)</t>
  </si>
  <si>
    <t>เงินผู้พิการ ตั้งไว้ 3,091,200 บาท รับจริง 2,640,000 บาท = ( -451,200 บาท)</t>
  </si>
  <si>
    <t>เงินผู้พิการ รับจริง 2,640,000 บาท หักจ่ายจริง 2,906,400 บาท  ( -266,400 บาท)</t>
  </si>
  <si>
    <t>เงินผู้สูงอายุ รับจริง 10,461,600 บาท หักจ่ายจริง 10,366,900 บาท (+94,700 บาท )</t>
  </si>
  <si>
    <t xml:space="preserve">ประมาณการรายรับ ขาดไป 987,600 บาท </t>
  </si>
  <si>
    <t>โอนงบประมาณรายจ่ายเพิ่มในส่วนของเบี้ยผู้พิการ 171,000 บาท</t>
  </si>
  <si>
    <t>-</t>
  </si>
  <si>
    <t xml:space="preserve">   6.4 เงินประกันสังคมของพนักงานจ้าง  (ยอดรวม 907,200 *5%)</t>
  </si>
  <si>
    <t xml:space="preserve">   -ช่วงอายุ 60-69 จำนวน 840 คน ๆ ละ 600 บาท</t>
  </si>
  <si>
    <t xml:space="preserve">   -ช่วงอายุ 70-79 จำนวน 327 คน ๆ ละ 700 บาท</t>
  </si>
  <si>
    <t xml:space="preserve">   -ช่วงอายุ 80-89 จำนวน 203 คน ๆ ละ 800 บาท</t>
  </si>
  <si>
    <t xml:space="preserve">   - 90 ปี ขี้นไป  จำนวน 35 คน ๆ ละ 1,000 บาท</t>
  </si>
  <si>
    <t xml:space="preserve">     - จำนวน 342 คน ๆ ละ 800 บาท ( ผู้มีสิทธิ์ 312 คน ตั้งรับ 30 คน)</t>
  </si>
  <si>
    <t>7.ประเภทเงินอุดหนุนค่าใช้จ่ายสำหรับสนับสนุน ผู้สูงอายุ (เบี้ยยังชีพผู้สูงอายุ 1,405 ราย)</t>
  </si>
  <si>
    <t>ประมาณการรายรับเงินอุดหนุนทั่วไป ตามข้อบัญญัติงบประมาณรายจ่ายประจำปี พ.ศ. 2561</t>
  </si>
  <si>
    <t>ร้อยละของการตั้งงบประมาณหมวดเงินอุดหนุนประจำปีงบประมาณ พ.ศ.2561</t>
  </si>
  <si>
    <t>องค์การบริหารส่วนตำบลเวียงตาล อำเภอห้างฉัตร จังหวัดลำปาง</t>
  </si>
  <si>
    <t>ลำดับที่</t>
  </si>
  <si>
    <t>จำนวน</t>
  </si>
  <si>
    <t>(บาท)</t>
  </si>
  <si>
    <t>หมายเหตุ</t>
  </si>
  <si>
    <t>ประเภทอุดหนุนส่วนราชการ</t>
  </si>
  <si>
    <t>อุดหนุนที่ทำการปกครองอำเภอห้างฉัตร</t>
  </si>
  <si>
    <t>อุดหนุนโรงเรียนบ้านสันทราย</t>
  </si>
  <si>
    <t>อุดหนุนโรงเรียนบ้านยางอ้อย</t>
  </si>
  <si>
    <t>อุดหนุนโรงเรียนเวียงตาลพิทยาคม</t>
  </si>
  <si>
    <t>ประเภทอุดหนุนเอกชน</t>
  </si>
  <si>
    <t>อุดหนุนสภาวัฒนธรรมตำบลเวียงตาล</t>
  </si>
  <si>
    <t>ประเภทอุดหนุนกิจการที่เป็นสาธารณะประโยชน์</t>
  </si>
  <si>
    <t>อุดหนุนกิ่งกาชาดอำเภอห้างฉัตร</t>
  </si>
  <si>
    <t>รายได้ไม่รวมเงินอุดหนุนปีที่ผ่านมา (พ.ศ.2559)</t>
  </si>
  <si>
    <t>คิดเป็นร้อยละ</t>
  </si>
  <si>
    <t>อุดหนุนโรงเรียนบ้านแม่ตาลน้อย -ปางปง ปางทราย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</si>
</sst>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Niramit AS"/>
      <family val="0"/>
    </font>
    <font>
      <sz val="13"/>
      <name val="TH Niramit AS"/>
      <family val="0"/>
    </font>
    <font>
      <b/>
      <sz val="14"/>
      <name val="TH Niramit AS"/>
      <family val="0"/>
    </font>
    <font>
      <b/>
      <sz val="13"/>
      <name val="TH Niramit AS"/>
      <family val="0"/>
    </font>
    <font>
      <sz val="16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Niramit AS"/>
      <family val="0"/>
    </font>
    <font>
      <b/>
      <sz val="16"/>
      <color indexed="8"/>
      <name val="TH Niramit AS"/>
      <family val="0"/>
    </font>
    <font>
      <sz val="11"/>
      <color indexed="8"/>
      <name val="TH Niramit AS"/>
      <family val="0"/>
    </font>
    <font>
      <b/>
      <sz val="14"/>
      <color indexed="8"/>
      <name val="TH Niramit AS"/>
      <family val="0"/>
    </font>
    <font>
      <sz val="14"/>
      <color indexed="8"/>
      <name val="TH Niramit AS"/>
      <family val="0"/>
    </font>
    <font>
      <sz val="13"/>
      <color indexed="8"/>
      <name val="TH Niramit AS"/>
      <family val="0"/>
    </font>
    <font>
      <sz val="16"/>
      <color indexed="10"/>
      <name val="TH Niramit AS"/>
      <family val="0"/>
    </font>
    <font>
      <sz val="15"/>
      <color indexed="8"/>
      <name val="TH Niramit AS"/>
      <family val="0"/>
    </font>
    <font>
      <b/>
      <sz val="15"/>
      <color indexed="8"/>
      <name val="TH Niramit AS"/>
      <family val="0"/>
    </font>
    <font>
      <sz val="7"/>
      <color indexed="8"/>
      <name val="Tahoma"/>
      <family val="2"/>
    </font>
    <font>
      <sz val="13"/>
      <color indexed="8"/>
      <name val="Tahoma"/>
      <family val="2"/>
    </font>
    <font>
      <sz val="15"/>
      <color indexed="10"/>
      <name val="TH Niramit AS"/>
      <family val="0"/>
    </font>
    <font>
      <sz val="15"/>
      <color indexed="56"/>
      <name val="TH Niramit AS"/>
      <family val="0"/>
    </font>
    <font>
      <b/>
      <sz val="14"/>
      <color indexed="10"/>
      <name val="TH Niramit AS"/>
      <family val="0"/>
    </font>
    <font>
      <b/>
      <sz val="13"/>
      <color indexed="8"/>
      <name val="TH Niramit AS"/>
      <family val="0"/>
    </font>
    <font>
      <b/>
      <u val="single"/>
      <sz val="13"/>
      <color indexed="8"/>
      <name val="TH Niramit AS"/>
      <family val="0"/>
    </font>
    <font>
      <b/>
      <sz val="18"/>
      <color indexed="8"/>
      <name val="TH Niramit AS"/>
      <family val="0"/>
    </font>
    <font>
      <sz val="14"/>
      <color indexed="10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sz val="11"/>
      <color theme="1"/>
      <name val="TH Niramit AS"/>
      <family val="0"/>
    </font>
    <font>
      <b/>
      <sz val="14"/>
      <color theme="1"/>
      <name val="TH Niramit AS"/>
      <family val="0"/>
    </font>
    <font>
      <sz val="14"/>
      <color theme="1"/>
      <name val="TH Niramit AS"/>
      <family val="0"/>
    </font>
    <font>
      <sz val="13"/>
      <color theme="1"/>
      <name val="TH Niramit AS"/>
      <family val="0"/>
    </font>
    <font>
      <sz val="16"/>
      <color rgb="FFFF0000"/>
      <name val="TH Niramit AS"/>
      <family val="0"/>
    </font>
    <font>
      <sz val="15"/>
      <color theme="1"/>
      <name val="TH Niramit AS"/>
      <family val="0"/>
    </font>
    <font>
      <b/>
      <sz val="15"/>
      <color theme="1"/>
      <name val="TH Niramit AS"/>
      <family val="0"/>
    </font>
    <font>
      <sz val="7"/>
      <color theme="1"/>
      <name val="Calibri"/>
      <family val="2"/>
    </font>
    <font>
      <sz val="13"/>
      <color theme="1"/>
      <name val="Calibri"/>
      <family val="2"/>
    </font>
    <font>
      <sz val="15"/>
      <color rgb="FFFF0000"/>
      <name val="TH Niramit AS"/>
      <family val="0"/>
    </font>
    <font>
      <sz val="15"/>
      <color rgb="FF002060"/>
      <name val="TH Niramit AS"/>
      <family val="0"/>
    </font>
    <font>
      <b/>
      <sz val="14"/>
      <color rgb="FFFF0000"/>
      <name val="TH Niramit AS"/>
      <family val="0"/>
    </font>
    <font>
      <b/>
      <sz val="13"/>
      <color theme="1"/>
      <name val="TH Niramit AS"/>
      <family val="0"/>
    </font>
    <font>
      <b/>
      <u val="single"/>
      <sz val="13"/>
      <color theme="1"/>
      <name val="TH Niramit AS"/>
      <family val="0"/>
    </font>
    <font>
      <sz val="14"/>
      <color rgb="FFFF0000"/>
      <name val="TH Niramit AS"/>
      <family val="0"/>
    </font>
    <font>
      <b/>
      <sz val="18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right"/>
    </xf>
    <xf numFmtId="43" fontId="60" fillId="0" borderId="11" xfId="0" applyNumberFormat="1" applyFont="1" applyBorder="1" applyAlignment="1">
      <alignment/>
    </xf>
    <xf numFmtId="43" fontId="61" fillId="0" borderId="11" xfId="0" applyNumberFormat="1" applyFont="1" applyBorder="1" applyAlignment="1">
      <alignment/>
    </xf>
    <xf numFmtId="0" fontId="58" fillId="0" borderId="12" xfId="0" applyFont="1" applyBorder="1" applyAlignment="1">
      <alignment horizontal="center"/>
    </xf>
    <xf numFmtId="0" fontId="61" fillId="0" borderId="10" xfId="0" applyFont="1" applyBorder="1" applyAlignment="1">
      <alignment/>
    </xf>
    <xf numFmtId="43" fontId="61" fillId="0" borderId="10" xfId="0" applyNumberFormat="1" applyFont="1" applyBorder="1" applyAlignment="1">
      <alignment/>
    </xf>
    <xf numFmtId="43" fontId="60" fillId="0" borderId="13" xfId="0" applyNumberFormat="1" applyFont="1" applyBorder="1" applyAlignment="1">
      <alignment/>
    </xf>
    <xf numFmtId="43" fontId="60" fillId="0" borderId="13" xfId="36" applyFont="1" applyBorder="1" applyAlignment="1">
      <alignment/>
    </xf>
    <xf numFmtId="43" fontId="61" fillId="0" borderId="13" xfId="0" applyNumberFormat="1" applyFont="1" applyBorder="1" applyAlignment="1">
      <alignment/>
    </xf>
    <xf numFmtId="43" fontId="61" fillId="0" borderId="10" xfId="36" applyFont="1" applyBorder="1" applyAlignment="1">
      <alignment/>
    </xf>
    <xf numFmtId="43" fontId="60" fillId="0" borderId="14" xfId="0" applyNumberFormat="1" applyFont="1" applyBorder="1" applyAlignment="1">
      <alignment/>
    </xf>
    <xf numFmtId="43" fontId="61" fillId="0" borderId="14" xfId="0" applyNumberFormat="1" applyFont="1" applyBorder="1" applyAlignment="1">
      <alignment/>
    </xf>
    <xf numFmtId="0" fontId="58" fillId="0" borderId="15" xfId="0" applyFont="1" applyBorder="1" applyAlignment="1">
      <alignment/>
    </xf>
    <xf numFmtId="0" fontId="61" fillId="0" borderId="15" xfId="0" applyFont="1" applyBorder="1" applyAlignment="1">
      <alignment/>
    </xf>
    <xf numFmtId="43" fontId="61" fillId="0" borderId="15" xfId="36" applyFont="1" applyBorder="1" applyAlignment="1">
      <alignment/>
    </xf>
    <xf numFmtId="0" fontId="57" fillId="0" borderId="16" xfId="0" applyFont="1" applyBorder="1" applyAlignment="1">
      <alignment/>
    </xf>
    <xf numFmtId="43" fontId="61" fillId="0" borderId="16" xfId="36" applyFont="1" applyBorder="1" applyAlignment="1">
      <alignment/>
    </xf>
    <xf numFmtId="43" fontId="61" fillId="0" borderId="16" xfId="0" applyNumberFormat="1" applyFont="1" applyBorder="1" applyAlignment="1">
      <alignment/>
    </xf>
    <xf numFmtId="0" fontId="57" fillId="0" borderId="17" xfId="0" applyFont="1" applyBorder="1" applyAlignment="1">
      <alignment/>
    </xf>
    <xf numFmtId="43" fontId="61" fillId="0" borderId="17" xfId="36" applyFont="1" applyBorder="1" applyAlignment="1">
      <alignment/>
    </xf>
    <xf numFmtId="43" fontId="61" fillId="0" borderId="17" xfId="0" applyNumberFormat="1" applyFont="1" applyBorder="1" applyAlignment="1">
      <alignment/>
    </xf>
    <xf numFmtId="0" fontId="61" fillId="0" borderId="18" xfId="0" applyFont="1" applyBorder="1" applyAlignment="1">
      <alignment/>
    </xf>
    <xf numFmtId="43" fontId="61" fillId="0" borderId="18" xfId="0" applyNumberFormat="1" applyFont="1" applyBorder="1" applyAlignment="1">
      <alignment/>
    </xf>
    <xf numFmtId="0" fontId="61" fillId="0" borderId="16" xfId="0" applyFont="1" applyBorder="1" applyAlignment="1">
      <alignment/>
    </xf>
    <xf numFmtId="0" fontId="58" fillId="0" borderId="15" xfId="0" applyFont="1" applyBorder="1" applyAlignment="1">
      <alignment horizontal="left"/>
    </xf>
    <xf numFmtId="43" fontId="60" fillId="0" borderId="17" xfId="0" applyNumberFormat="1" applyFont="1" applyBorder="1" applyAlignment="1">
      <alignment/>
    </xf>
    <xf numFmtId="43" fontId="61" fillId="0" borderId="15" xfId="0" applyNumberFormat="1" applyFont="1" applyBorder="1" applyAlignment="1">
      <alignment/>
    </xf>
    <xf numFmtId="0" fontId="57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1" fillId="0" borderId="17" xfId="0" applyFont="1" applyBorder="1" applyAlignment="1">
      <alignment/>
    </xf>
    <xf numFmtId="43" fontId="60" fillId="0" borderId="11" xfId="36" applyFont="1" applyBorder="1" applyAlignment="1">
      <alignment/>
    </xf>
    <xf numFmtId="43" fontId="60" fillId="0" borderId="15" xfId="0" applyNumberFormat="1" applyFont="1" applyBorder="1" applyAlignment="1">
      <alignment/>
    </xf>
    <xf numFmtId="43" fontId="57" fillId="0" borderId="0" xfId="0" applyNumberFormat="1" applyFont="1" applyAlignment="1">
      <alignment/>
    </xf>
    <xf numFmtId="43" fontId="63" fillId="0" borderId="0" xfId="0" applyNumberFormat="1" applyFont="1" applyAlignment="1">
      <alignment/>
    </xf>
    <xf numFmtId="0" fontId="64" fillId="0" borderId="0" xfId="0" applyFont="1" applyAlignment="1">
      <alignment horizontal="right"/>
    </xf>
    <xf numFmtId="43" fontId="64" fillId="0" borderId="0" xfId="0" applyNumberFormat="1" applyFont="1" applyAlignment="1">
      <alignment/>
    </xf>
    <xf numFmtId="0" fontId="65" fillId="0" borderId="0" xfId="0" applyFont="1" applyAlignment="1">
      <alignment horizontal="right"/>
    </xf>
    <xf numFmtId="43" fontId="65" fillId="0" borderId="0" xfId="0" applyNumberFormat="1" applyFont="1" applyAlignment="1">
      <alignment/>
    </xf>
    <xf numFmtId="43" fontId="2" fillId="0" borderId="15" xfId="36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16" xfId="36" applyFont="1" applyBorder="1" applyAlignment="1">
      <alignment/>
    </xf>
    <xf numFmtId="0" fontId="58" fillId="0" borderId="19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43" fontId="66" fillId="0" borderId="0" xfId="0" applyNumberFormat="1" applyFont="1" applyAlignment="1">
      <alignment/>
    </xf>
    <xf numFmtId="0" fontId="67" fillId="0" borderId="0" xfId="0" applyFont="1" applyAlignment="1">
      <alignment/>
    </xf>
    <xf numFmtId="43" fontId="61" fillId="0" borderId="0" xfId="36" applyFont="1" applyAlignment="1">
      <alignment/>
    </xf>
    <xf numFmtId="0" fontId="62" fillId="0" borderId="0" xfId="0" applyFont="1" applyAlignment="1">
      <alignment horizontal="right"/>
    </xf>
    <xf numFmtId="43" fontId="62" fillId="0" borderId="0" xfId="36" applyFont="1" applyAlignment="1">
      <alignment/>
    </xf>
    <xf numFmtId="43" fontId="68" fillId="0" borderId="0" xfId="0" applyNumberFormat="1" applyFont="1" applyAlignment="1">
      <alignment/>
    </xf>
    <xf numFmtId="43" fontId="69" fillId="0" borderId="0" xfId="0" applyNumberFormat="1" applyFont="1" applyAlignment="1">
      <alignment/>
    </xf>
    <xf numFmtId="0" fontId="68" fillId="0" borderId="0" xfId="0" applyFont="1" applyAlignment="1">
      <alignment horizontal="right"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0" fontId="57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6" xfId="0" applyFont="1" applyBorder="1" applyAlignment="1">
      <alignment horizontal="center"/>
    </xf>
    <xf numFmtId="43" fontId="57" fillId="0" borderId="16" xfId="36" applyFont="1" applyBorder="1" applyAlignment="1">
      <alignment/>
    </xf>
    <xf numFmtId="0" fontId="64" fillId="0" borderId="16" xfId="0" applyFont="1" applyBorder="1" applyAlignment="1">
      <alignment/>
    </xf>
    <xf numFmtId="0" fontId="62" fillId="0" borderId="18" xfId="0" applyFont="1" applyBorder="1" applyAlignment="1">
      <alignment/>
    </xf>
    <xf numFmtId="43" fontId="61" fillId="0" borderId="18" xfId="36" applyFont="1" applyBorder="1" applyAlignment="1">
      <alignment/>
    </xf>
    <xf numFmtId="0" fontId="64" fillId="0" borderId="10" xfId="0" applyFont="1" applyBorder="1" applyAlignment="1">
      <alignment/>
    </xf>
    <xf numFmtId="0" fontId="61" fillId="0" borderId="12" xfId="0" applyFont="1" applyBorder="1" applyAlignment="1">
      <alignment/>
    </xf>
    <xf numFmtId="43" fontId="61" fillId="0" borderId="12" xfId="36" applyFont="1" applyBorder="1" applyAlignment="1">
      <alignment/>
    </xf>
    <xf numFmtId="43" fontId="61" fillId="0" borderId="12" xfId="0" applyNumberFormat="1" applyFont="1" applyBorder="1" applyAlignment="1">
      <alignment/>
    </xf>
    <xf numFmtId="43" fontId="2" fillId="0" borderId="12" xfId="36" applyFont="1" applyBorder="1" applyAlignment="1">
      <alignment/>
    </xf>
    <xf numFmtId="0" fontId="58" fillId="0" borderId="12" xfId="0" applyFont="1" applyBorder="1" applyAlignment="1">
      <alignment/>
    </xf>
    <xf numFmtId="43" fontId="70" fillId="0" borderId="12" xfId="36" applyFont="1" applyBorder="1" applyAlignment="1">
      <alignment/>
    </xf>
    <xf numFmtId="43" fontId="70" fillId="0" borderId="17" xfId="36" applyFont="1" applyBorder="1" applyAlignment="1">
      <alignment/>
    </xf>
    <xf numFmtId="0" fontId="57" fillId="0" borderId="18" xfId="0" applyFont="1" applyBorder="1" applyAlignment="1">
      <alignment horizontal="center"/>
    </xf>
    <xf numFmtId="0" fontId="57" fillId="0" borderId="18" xfId="0" applyFont="1" applyBorder="1" applyAlignment="1">
      <alignment horizontal="left"/>
    </xf>
    <xf numFmtId="43" fontId="57" fillId="0" borderId="18" xfId="36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43" fontId="4" fillId="0" borderId="16" xfId="36" applyFont="1" applyBorder="1" applyAlignment="1">
      <alignment/>
    </xf>
    <xf numFmtId="43" fontId="4" fillId="0" borderId="18" xfId="36" applyFont="1" applyBorder="1" applyAlignment="1">
      <alignment/>
    </xf>
    <xf numFmtId="43" fontId="57" fillId="0" borderId="18" xfId="36" applyFont="1" applyBorder="1" applyAlignment="1">
      <alignment/>
    </xf>
    <xf numFmtId="43" fontId="57" fillId="0" borderId="20" xfId="36" applyFont="1" applyBorder="1" applyAlignment="1">
      <alignment/>
    </xf>
    <xf numFmtId="43" fontId="58" fillId="0" borderId="10" xfId="36" applyFont="1" applyBorder="1" applyAlignment="1">
      <alignment/>
    </xf>
    <xf numFmtId="0" fontId="58" fillId="0" borderId="19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43" fontId="61" fillId="0" borderId="20" xfId="0" applyNumberFormat="1" applyFont="1" applyBorder="1" applyAlignment="1">
      <alignment/>
    </xf>
    <xf numFmtId="43" fontId="67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4" fillId="0" borderId="17" xfId="0" applyFont="1" applyBorder="1" applyAlignment="1">
      <alignment/>
    </xf>
    <xf numFmtId="43" fontId="61" fillId="0" borderId="21" xfId="0" applyNumberFormat="1" applyFont="1" applyBorder="1" applyAlignment="1">
      <alignment/>
    </xf>
    <xf numFmtId="43" fontId="62" fillId="0" borderId="17" xfId="36" applyFont="1" applyBorder="1" applyAlignment="1">
      <alignment/>
    </xf>
    <xf numFmtId="0" fontId="71" fillId="0" borderId="17" xfId="0" applyFont="1" applyBorder="1" applyAlignment="1">
      <alignment/>
    </xf>
    <xf numFmtId="0" fontId="72" fillId="0" borderId="15" xfId="0" applyFont="1" applyBorder="1" applyAlignment="1">
      <alignment/>
    </xf>
    <xf numFmtId="0" fontId="62" fillId="0" borderId="15" xfId="0" applyFont="1" applyBorder="1" applyAlignment="1">
      <alignment/>
    </xf>
    <xf numFmtId="0" fontId="71" fillId="0" borderId="16" xfId="0" applyFont="1" applyBorder="1" applyAlignment="1">
      <alignment/>
    </xf>
    <xf numFmtId="43" fontId="71" fillId="0" borderId="16" xfId="36" applyFont="1" applyBorder="1" applyAlignment="1">
      <alignment/>
    </xf>
    <xf numFmtId="43" fontId="62" fillId="0" borderId="16" xfId="36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43" fontId="57" fillId="0" borderId="17" xfId="36" applyFont="1" applyBorder="1" applyAlignment="1">
      <alignment/>
    </xf>
    <xf numFmtId="0" fontId="57" fillId="0" borderId="18" xfId="0" applyFont="1" applyBorder="1" applyAlignment="1">
      <alignment/>
    </xf>
    <xf numFmtId="43" fontId="57" fillId="0" borderId="16" xfId="0" applyNumberFormat="1" applyFont="1" applyBorder="1" applyAlignment="1">
      <alignment/>
    </xf>
    <xf numFmtId="43" fontId="57" fillId="0" borderId="20" xfId="0" applyNumberFormat="1" applyFont="1" applyBorder="1" applyAlignment="1">
      <alignment/>
    </xf>
    <xf numFmtId="43" fontId="58" fillId="0" borderId="11" xfId="36" applyFont="1" applyBorder="1" applyAlignment="1">
      <alignment/>
    </xf>
    <xf numFmtId="43" fontId="58" fillId="0" borderId="11" xfId="0" applyNumberFormat="1" applyFont="1" applyBorder="1" applyAlignment="1">
      <alignment/>
    </xf>
    <xf numFmtId="0" fontId="58" fillId="0" borderId="0" xfId="0" applyFont="1" applyAlignment="1">
      <alignment/>
    </xf>
    <xf numFmtId="43" fontId="58" fillId="0" borderId="0" xfId="36" applyFont="1" applyAlignment="1">
      <alignment/>
    </xf>
    <xf numFmtId="43" fontId="58" fillId="0" borderId="22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11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left"/>
    </xf>
    <xf numFmtId="0" fontId="64" fillId="0" borderId="18" xfId="0" applyFont="1" applyBorder="1" applyAlignment="1">
      <alignment/>
    </xf>
    <xf numFmtId="43" fontId="64" fillId="0" borderId="18" xfId="36" applyFont="1" applyBorder="1" applyAlignment="1">
      <alignment/>
    </xf>
    <xf numFmtId="0" fontId="64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left"/>
    </xf>
    <xf numFmtId="43" fontId="64" fillId="0" borderId="18" xfId="36" applyFont="1" applyBorder="1" applyAlignment="1">
      <alignment horizontal="center"/>
    </xf>
    <xf numFmtId="43" fontId="64" fillId="0" borderId="16" xfId="36" applyFont="1" applyBorder="1" applyAlignment="1">
      <alignment/>
    </xf>
    <xf numFmtId="43" fontId="64" fillId="0" borderId="16" xfId="0" applyNumberFormat="1" applyFont="1" applyBorder="1" applyAlignment="1">
      <alignment/>
    </xf>
    <xf numFmtId="0" fontId="64" fillId="0" borderId="16" xfId="0" applyFont="1" applyBorder="1" applyAlignment="1">
      <alignment horizontal="center"/>
    </xf>
    <xf numFmtId="43" fontId="64" fillId="0" borderId="17" xfId="36" applyFont="1" applyBorder="1" applyAlignment="1">
      <alignment/>
    </xf>
    <xf numFmtId="43" fontId="64" fillId="0" borderId="20" xfId="36" applyFont="1" applyBorder="1" applyAlignment="1">
      <alignment/>
    </xf>
    <xf numFmtId="43" fontId="64" fillId="0" borderId="20" xfId="0" applyNumberFormat="1" applyFont="1" applyBorder="1" applyAlignment="1">
      <alignment/>
    </xf>
    <xf numFmtId="0" fontId="64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right"/>
    </xf>
    <xf numFmtId="43" fontId="65" fillId="0" borderId="10" xfId="36" applyFont="1" applyBorder="1" applyAlignment="1">
      <alignment/>
    </xf>
    <xf numFmtId="43" fontId="65" fillId="0" borderId="11" xfId="36" applyFont="1" applyBorder="1" applyAlignment="1">
      <alignment/>
    </xf>
    <xf numFmtId="43" fontId="65" fillId="0" borderId="11" xfId="0" applyNumberFormat="1" applyFont="1" applyBorder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43" fontId="65" fillId="0" borderId="0" xfId="36" applyFont="1" applyAlignment="1">
      <alignment/>
    </xf>
    <xf numFmtId="43" fontId="65" fillId="0" borderId="22" xfId="0" applyNumberFormat="1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left"/>
    </xf>
    <xf numFmtId="0" fontId="65" fillId="0" borderId="19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43" fontId="64" fillId="0" borderId="16" xfId="36" applyNumberFormat="1" applyFont="1" applyBorder="1" applyAlignment="1">
      <alignment/>
    </xf>
    <xf numFmtId="43" fontId="64" fillId="0" borderId="20" xfId="36" applyNumberFormat="1" applyFont="1" applyBorder="1" applyAlignment="1">
      <alignment/>
    </xf>
    <xf numFmtId="43" fontId="65" fillId="0" borderId="11" xfId="36" applyNumberFormat="1" applyFont="1" applyBorder="1" applyAlignment="1">
      <alignment/>
    </xf>
    <xf numFmtId="0" fontId="65" fillId="0" borderId="10" xfId="0" applyFont="1" applyBorder="1" applyAlignment="1">
      <alignment horizontal="center"/>
    </xf>
    <xf numFmtId="43" fontId="68" fillId="0" borderId="16" xfId="36" applyNumberFormat="1" applyFont="1" applyBorder="1" applyAlignment="1">
      <alignment/>
    </xf>
    <xf numFmtId="43" fontId="68" fillId="0" borderId="16" xfId="36" applyFont="1" applyBorder="1" applyAlignment="1">
      <alignment/>
    </xf>
    <xf numFmtId="43" fontId="6" fillId="0" borderId="17" xfId="36" applyFont="1" applyBorder="1" applyAlignment="1">
      <alignment/>
    </xf>
    <xf numFmtId="43" fontId="61" fillId="0" borderId="23" xfId="36" applyNumberFormat="1" applyFont="1" applyBorder="1" applyAlignment="1">
      <alignment/>
    </xf>
    <xf numFmtId="43" fontId="61" fillId="0" borderId="16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right"/>
    </xf>
    <xf numFmtId="43" fontId="65" fillId="0" borderId="0" xfId="36" applyFont="1" applyBorder="1" applyAlignment="1">
      <alignment/>
    </xf>
    <xf numFmtId="0" fontId="57" fillId="0" borderId="24" xfId="0" applyFont="1" applyBorder="1" applyAlignment="1">
      <alignment/>
    </xf>
    <xf numFmtId="43" fontId="61" fillId="0" borderId="24" xfId="36" applyFont="1" applyBorder="1" applyAlignment="1">
      <alignment/>
    </xf>
    <xf numFmtId="43" fontId="61" fillId="0" borderId="24" xfId="0" applyNumberFormat="1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24" xfId="0" applyFont="1" applyBorder="1" applyAlignment="1">
      <alignment horizontal="right"/>
    </xf>
    <xf numFmtId="43" fontId="60" fillId="0" borderId="24" xfId="0" applyNumberFormat="1" applyFont="1" applyBorder="1" applyAlignment="1">
      <alignment/>
    </xf>
    <xf numFmtId="43" fontId="60" fillId="0" borderId="24" xfId="36" applyFont="1" applyBorder="1" applyAlignment="1">
      <alignment/>
    </xf>
    <xf numFmtId="0" fontId="58" fillId="0" borderId="18" xfId="0" applyFont="1" applyBorder="1" applyAlignment="1">
      <alignment horizontal="left"/>
    </xf>
    <xf numFmtId="43" fontId="60" fillId="0" borderId="18" xfId="0" applyNumberFormat="1" applyFont="1" applyBorder="1" applyAlignment="1">
      <alignment/>
    </xf>
    <xf numFmtId="188" fontId="57" fillId="0" borderId="24" xfId="36" applyNumberFormat="1" applyFont="1" applyBorder="1" applyAlignment="1">
      <alignment/>
    </xf>
    <xf numFmtId="188" fontId="57" fillId="0" borderId="24" xfId="0" applyNumberFormat="1" applyFont="1" applyBorder="1" applyAlignment="1">
      <alignment/>
    </xf>
    <xf numFmtId="0" fontId="57" fillId="0" borderId="20" xfId="0" applyFont="1" applyBorder="1" applyAlignment="1">
      <alignment/>
    </xf>
    <xf numFmtId="0" fontId="61" fillId="0" borderId="20" xfId="0" applyFont="1" applyBorder="1" applyAlignment="1">
      <alignment/>
    </xf>
    <xf numFmtId="43" fontId="61" fillId="0" borderId="20" xfId="36" applyFont="1" applyBorder="1" applyAlignment="1">
      <alignment/>
    </xf>
    <xf numFmtId="43" fontId="61" fillId="0" borderId="25" xfId="36" applyNumberFormat="1" applyFont="1" applyBorder="1" applyAlignment="1">
      <alignment/>
    </xf>
    <xf numFmtId="43" fontId="70" fillId="0" borderId="20" xfId="36" applyFont="1" applyBorder="1" applyAlignment="1">
      <alignment/>
    </xf>
    <xf numFmtId="43" fontId="70" fillId="0" borderId="24" xfId="36" applyFont="1" applyBorder="1" applyAlignment="1">
      <alignment/>
    </xf>
    <xf numFmtId="43" fontId="61" fillId="0" borderId="26" xfId="36" applyNumberFormat="1" applyFont="1" applyBorder="1" applyAlignment="1">
      <alignment/>
    </xf>
    <xf numFmtId="0" fontId="61" fillId="0" borderId="24" xfId="0" applyFont="1" applyBorder="1" applyAlignment="1">
      <alignment/>
    </xf>
    <xf numFmtId="0" fontId="58" fillId="0" borderId="19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43" fontId="73" fillId="0" borderId="16" xfId="36" applyFont="1" applyBorder="1" applyAlignment="1">
      <alignment/>
    </xf>
    <xf numFmtId="43" fontId="73" fillId="0" borderId="18" xfId="36" applyFont="1" applyBorder="1" applyAlignment="1">
      <alignment/>
    </xf>
    <xf numFmtId="0" fontId="58" fillId="0" borderId="19" xfId="0" applyFont="1" applyBorder="1" applyAlignment="1">
      <alignment horizontal="right"/>
    </xf>
    <xf numFmtId="43" fontId="60" fillId="0" borderId="19" xfId="0" applyNumberFormat="1" applyFont="1" applyBorder="1" applyAlignment="1">
      <alignment/>
    </xf>
    <xf numFmtId="43" fontId="60" fillId="0" borderId="19" xfId="36" applyFont="1" applyBorder="1" applyAlignment="1">
      <alignment/>
    </xf>
    <xf numFmtId="0" fontId="57" fillId="0" borderId="0" xfId="0" applyFont="1" applyBorder="1" applyAlignment="1">
      <alignment/>
    </xf>
    <xf numFmtId="43" fontId="61" fillId="0" borderId="0" xfId="36" applyFont="1" applyBorder="1" applyAlignment="1">
      <alignment/>
    </xf>
    <xf numFmtId="188" fontId="57" fillId="0" borderId="0" xfId="36" applyNumberFormat="1" applyFont="1" applyBorder="1" applyAlignment="1">
      <alignment/>
    </xf>
    <xf numFmtId="43" fontId="60" fillId="0" borderId="0" xfId="36" applyFont="1" applyBorder="1" applyAlignment="1">
      <alignment/>
    </xf>
    <xf numFmtId="188" fontId="57" fillId="0" borderId="0" xfId="0" applyNumberFormat="1" applyFont="1" applyBorder="1" applyAlignment="1">
      <alignment/>
    </xf>
    <xf numFmtId="43" fontId="60" fillId="0" borderId="0" xfId="0" applyNumberFormat="1" applyFont="1" applyBorder="1" applyAlignment="1">
      <alignment/>
    </xf>
    <xf numFmtId="43" fontId="6" fillId="0" borderId="20" xfId="36" applyFont="1" applyBorder="1" applyAlignment="1">
      <alignment/>
    </xf>
    <xf numFmtId="43" fontId="73" fillId="0" borderId="0" xfId="36" applyFont="1" applyBorder="1" applyAlignment="1">
      <alignment/>
    </xf>
    <xf numFmtId="43" fontId="73" fillId="0" borderId="17" xfId="36" applyFont="1" applyBorder="1" applyAlignment="1">
      <alignment/>
    </xf>
    <xf numFmtId="43" fontId="61" fillId="0" borderId="27" xfId="36" applyNumberFormat="1" applyFont="1" applyBorder="1" applyAlignment="1">
      <alignment/>
    </xf>
    <xf numFmtId="188" fontId="61" fillId="0" borderId="16" xfId="0" applyNumberFormat="1" applyFont="1" applyBorder="1" applyAlignment="1">
      <alignment horizontal="center"/>
    </xf>
    <xf numFmtId="188" fontId="61" fillId="0" borderId="20" xfId="0" applyNumberFormat="1" applyFont="1" applyBorder="1" applyAlignment="1">
      <alignment horizontal="center"/>
    </xf>
    <xf numFmtId="188" fontId="61" fillId="0" borderId="19" xfId="0" applyNumberFormat="1" applyFont="1" applyBorder="1" applyAlignment="1">
      <alignment horizontal="center"/>
    </xf>
    <xf numFmtId="187" fontId="61" fillId="0" borderId="15" xfId="0" applyNumberFormat="1" applyFont="1" applyBorder="1" applyAlignment="1">
      <alignment horizontal="center"/>
    </xf>
    <xf numFmtId="187" fontId="61" fillId="0" borderId="16" xfId="0" applyNumberFormat="1" applyFont="1" applyBorder="1" applyAlignment="1">
      <alignment horizontal="center"/>
    </xf>
    <xf numFmtId="187" fontId="61" fillId="0" borderId="17" xfId="0" applyNumberFormat="1" applyFont="1" applyBorder="1" applyAlignment="1">
      <alignment horizontal="center"/>
    </xf>
    <xf numFmtId="188" fontId="61" fillId="0" borderId="0" xfId="0" applyNumberFormat="1" applyFont="1" applyBorder="1" applyAlignment="1">
      <alignment horizontal="center"/>
    </xf>
    <xf numFmtId="188" fontId="61" fillId="0" borderId="18" xfId="0" applyNumberFormat="1" applyFont="1" applyBorder="1" applyAlignment="1">
      <alignment horizontal="center"/>
    </xf>
    <xf numFmtId="188" fontId="60" fillId="0" borderId="11" xfId="0" applyNumberFormat="1" applyFont="1" applyBorder="1" applyAlignment="1">
      <alignment horizontal="center"/>
    </xf>
    <xf numFmtId="188" fontId="61" fillId="0" borderId="11" xfId="0" applyNumberFormat="1" applyFont="1" applyBorder="1" applyAlignment="1">
      <alignment horizontal="center"/>
    </xf>
    <xf numFmtId="188" fontId="61" fillId="0" borderId="17" xfId="0" applyNumberFormat="1" applyFont="1" applyBorder="1" applyAlignment="1">
      <alignment horizontal="center"/>
    </xf>
    <xf numFmtId="188" fontId="61" fillId="0" borderId="13" xfId="0" applyNumberFormat="1" applyFont="1" applyBorder="1" applyAlignment="1">
      <alignment horizontal="center"/>
    </xf>
    <xf numFmtId="188" fontId="61" fillId="0" borderId="10" xfId="0" applyNumberFormat="1" applyFont="1" applyBorder="1" applyAlignment="1">
      <alignment horizontal="center"/>
    </xf>
    <xf numFmtId="188" fontId="61" fillId="0" borderId="14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28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43" fontId="57" fillId="0" borderId="11" xfId="36" applyFont="1" applyBorder="1" applyAlignment="1">
      <alignment/>
    </xf>
    <xf numFmtId="2" fontId="58" fillId="0" borderId="11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100" zoomScalePageLayoutView="0" workbookViewId="0" topLeftCell="A55">
      <selection activeCell="J68" sqref="J68"/>
    </sheetView>
  </sheetViews>
  <sheetFormatPr defaultColWidth="9.140625" defaultRowHeight="15"/>
  <cols>
    <col min="1" max="1" width="57.00390625" style="0" customWidth="1"/>
    <col min="2" max="2" width="14.140625" style="0" customWidth="1"/>
    <col min="3" max="4" width="13.8515625" style="0" customWidth="1"/>
    <col min="5" max="5" width="14.140625" style="3" customWidth="1"/>
    <col min="6" max="6" width="8.00390625" style="0" customWidth="1"/>
    <col min="7" max="8" width="14.421875" style="0" customWidth="1"/>
    <col min="9" max="9" width="19.421875" style="0" bestFit="1" customWidth="1"/>
  </cols>
  <sheetData>
    <row r="1" spans="1:13" ht="27.75">
      <c r="A1" s="199" t="s">
        <v>6</v>
      </c>
      <c r="B1" s="199"/>
      <c r="C1" s="199"/>
      <c r="D1" s="199"/>
      <c r="E1" s="199"/>
      <c r="F1" s="199"/>
      <c r="G1" s="199"/>
      <c r="H1" s="1"/>
      <c r="I1" s="1"/>
      <c r="J1" s="1"/>
      <c r="K1" s="1"/>
      <c r="L1" s="1"/>
      <c r="M1" s="1"/>
    </row>
    <row r="2" spans="1:13" ht="27.75">
      <c r="A2" s="199" t="s">
        <v>113</v>
      </c>
      <c r="B2" s="199"/>
      <c r="C2" s="199"/>
      <c r="D2" s="199"/>
      <c r="E2" s="199"/>
      <c r="F2" s="199"/>
      <c r="G2" s="199"/>
      <c r="H2" s="1"/>
      <c r="I2" s="1"/>
      <c r="J2" s="1"/>
      <c r="K2" s="1"/>
      <c r="L2" s="1"/>
      <c r="M2" s="1"/>
    </row>
    <row r="3" spans="1:13" ht="27.75">
      <c r="A3" s="199" t="s">
        <v>0</v>
      </c>
      <c r="B3" s="199"/>
      <c r="C3" s="199"/>
      <c r="D3" s="199"/>
      <c r="E3" s="199"/>
      <c r="F3" s="199"/>
      <c r="G3" s="199"/>
      <c r="H3" s="1"/>
      <c r="I3" s="1"/>
      <c r="J3" s="1"/>
      <c r="K3" s="1"/>
      <c r="L3" s="1"/>
      <c r="M3" s="1"/>
    </row>
    <row r="4" spans="1:13" ht="27.75">
      <c r="A4" s="200" t="s">
        <v>1</v>
      </c>
      <c r="B4" s="200"/>
      <c r="C4" s="200"/>
      <c r="D4" s="200"/>
      <c r="E4" s="200"/>
      <c r="F4" s="200"/>
      <c r="G4" s="200"/>
      <c r="H4" s="1"/>
      <c r="I4" s="1"/>
      <c r="J4" s="1"/>
      <c r="K4" s="1"/>
      <c r="L4" s="1"/>
      <c r="M4" s="1"/>
    </row>
    <row r="5" spans="1:13" ht="24.75">
      <c r="A5" s="83" t="s">
        <v>2</v>
      </c>
      <c r="B5" s="201" t="s">
        <v>3</v>
      </c>
      <c r="C5" s="202"/>
      <c r="D5" s="202"/>
      <c r="E5" s="203"/>
      <c r="F5" s="202" t="s">
        <v>5</v>
      </c>
      <c r="G5" s="203"/>
      <c r="H5" s="1"/>
      <c r="I5" s="1"/>
      <c r="J5" s="1"/>
      <c r="K5" s="1"/>
      <c r="L5" s="1"/>
      <c r="M5" s="1"/>
    </row>
    <row r="6" spans="1:13" ht="24.75">
      <c r="A6" s="8"/>
      <c r="B6" s="204" t="s">
        <v>58</v>
      </c>
      <c r="C6" s="204" t="s">
        <v>61</v>
      </c>
      <c r="D6" s="206" t="s">
        <v>72</v>
      </c>
      <c r="E6" s="206" t="s">
        <v>114</v>
      </c>
      <c r="F6" s="83" t="s">
        <v>67</v>
      </c>
      <c r="G6" s="204" t="s">
        <v>115</v>
      </c>
      <c r="H6" s="204" t="s">
        <v>73</v>
      </c>
      <c r="I6" s="1"/>
      <c r="J6" s="1"/>
      <c r="K6" s="1"/>
      <c r="L6" s="1"/>
      <c r="M6" s="1"/>
    </row>
    <row r="7" spans="1:13" ht="24.75">
      <c r="A7" s="2"/>
      <c r="B7" s="205"/>
      <c r="C7" s="205"/>
      <c r="D7" s="207"/>
      <c r="E7" s="207"/>
      <c r="F7" s="84" t="s">
        <v>68</v>
      </c>
      <c r="G7" s="205"/>
      <c r="H7" s="205"/>
      <c r="I7" s="1"/>
      <c r="J7" s="1"/>
      <c r="K7" s="1"/>
      <c r="L7" s="1"/>
      <c r="M7" s="1"/>
    </row>
    <row r="8" spans="1:13" ht="24.75">
      <c r="A8" s="17" t="s">
        <v>7</v>
      </c>
      <c r="B8" s="19"/>
      <c r="C8" s="18"/>
      <c r="D8" s="18"/>
      <c r="E8" s="18"/>
      <c r="F8" s="18"/>
      <c r="G8" s="18"/>
      <c r="H8" s="18"/>
      <c r="I8" s="1"/>
      <c r="J8" s="1"/>
      <c r="K8" s="1"/>
      <c r="L8" s="1"/>
      <c r="M8" s="1"/>
    </row>
    <row r="9" spans="1:13" ht="24.75">
      <c r="A9" s="20" t="s">
        <v>8</v>
      </c>
      <c r="B9" s="21">
        <v>557782.58</v>
      </c>
      <c r="C9" s="21">
        <v>818102.91</v>
      </c>
      <c r="D9" s="21">
        <v>950172.53</v>
      </c>
      <c r="E9" s="21">
        <v>995188.5</v>
      </c>
      <c r="F9" s="22">
        <f>(E9-G9)*100/E9</f>
        <v>-0.00015072521436893614</v>
      </c>
      <c r="G9" s="21">
        <v>995190</v>
      </c>
      <c r="H9" s="21">
        <v>950170</v>
      </c>
      <c r="I9" s="1"/>
      <c r="J9" s="1"/>
      <c r="K9" s="1"/>
      <c r="L9" s="1"/>
      <c r="M9" s="1"/>
    </row>
    <row r="10" spans="1:13" ht="24.75">
      <c r="A10" s="20" t="s">
        <v>9</v>
      </c>
      <c r="B10" s="21">
        <v>40480.76</v>
      </c>
      <c r="C10" s="21">
        <v>33560.59</v>
      </c>
      <c r="D10" s="21">
        <v>35611.02</v>
      </c>
      <c r="E10" s="21">
        <v>35792</v>
      </c>
      <c r="F10" s="22">
        <f aca="true" t="shared" si="0" ref="F10:F70">(E10-G10)*100/E10</f>
        <v>0.005587840858292356</v>
      </c>
      <c r="G10" s="21">
        <v>35790</v>
      </c>
      <c r="H10" s="21">
        <v>35610</v>
      </c>
      <c r="I10" s="1"/>
      <c r="J10" s="1"/>
      <c r="K10" s="1"/>
      <c r="L10" s="1"/>
      <c r="M10" s="1"/>
    </row>
    <row r="11" spans="1:13" ht="24.75">
      <c r="A11" s="23" t="s">
        <v>10</v>
      </c>
      <c r="B11" s="24">
        <v>83140</v>
      </c>
      <c r="C11" s="24">
        <v>79375</v>
      </c>
      <c r="D11" s="24">
        <v>77061</v>
      </c>
      <c r="E11" s="24">
        <v>83293</v>
      </c>
      <c r="F11" s="85">
        <f t="shared" si="0"/>
        <v>0.003601743243729965</v>
      </c>
      <c r="G11" s="24">
        <v>83290</v>
      </c>
      <c r="H11" s="24">
        <v>77060</v>
      </c>
      <c r="I11" s="1"/>
      <c r="J11" s="1"/>
      <c r="K11" s="1"/>
      <c r="L11" s="1"/>
      <c r="M11" s="1"/>
    </row>
    <row r="12" spans="1:13" ht="25.5" thickBot="1">
      <c r="A12" s="5" t="s">
        <v>11</v>
      </c>
      <c r="B12" s="11">
        <f>SUM(B9:B11)</f>
        <v>681403.34</v>
      </c>
      <c r="C12" s="11">
        <f>SUM(C9:C11)</f>
        <v>931038.5</v>
      </c>
      <c r="D12" s="12">
        <f>SUM(D9:D11)</f>
        <v>1062844.55</v>
      </c>
      <c r="E12" s="12">
        <f>SUM(E9:E11)</f>
        <v>1114273.5</v>
      </c>
      <c r="F12" s="13">
        <f t="shared" si="0"/>
        <v>0.0003141060071876429</v>
      </c>
      <c r="G12" s="11">
        <f>SUM(G9:G11)</f>
        <v>1114270</v>
      </c>
      <c r="H12" s="11">
        <f>SUM(H9:H11)</f>
        <v>1062840</v>
      </c>
      <c r="I12" s="1"/>
      <c r="J12" s="1"/>
      <c r="K12" s="1"/>
      <c r="L12" s="1"/>
      <c r="M12" s="1"/>
    </row>
    <row r="13" spans="1:13" ht="25.5" thickTop="1">
      <c r="A13" s="17" t="s">
        <v>12</v>
      </c>
      <c r="B13" s="26"/>
      <c r="C13" s="26"/>
      <c r="D13" s="26"/>
      <c r="E13" s="26"/>
      <c r="F13" s="27"/>
      <c r="G13" s="26"/>
      <c r="H13" s="26"/>
      <c r="I13" s="1"/>
      <c r="J13" s="1"/>
      <c r="K13" s="1"/>
      <c r="L13" s="1"/>
      <c r="M13" s="1"/>
    </row>
    <row r="14" spans="1:13" ht="24.75">
      <c r="A14" s="20" t="s">
        <v>66</v>
      </c>
      <c r="B14" s="21">
        <v>0</v>
      </c>
      <c r="C14" s="21">
        <v>0</v>
      </c>
      <c r="D14" s="21">
        <v>4403.8</v>
      </c>
      <c r="E14" s="21">
        <v>4345.6</v>
      </c>
      <c r="F14" s="22">
        <f t="shared" si="0"/>
        <v>-0.10125184094255421</v>
      </c>
      <c r="G14" s="21">
        <v>4350</v>
      </c>
      <c r="H14" s="21">
        <v>4400</v>
      </c>
      <c r="I14" s="1"/>
      <c r="J14" s="1"/>
      <c r="K14" s="1"/>
      <c r="L14" s="1"/>
      <c r="M14" s="1"/>
    </row>
    <row r="15" spans="1:13" ht="24.75">
      <c r="A15" s="20" t="s">
        <v>62</v>
      </c>
      <c r="B15" s="21">
        <v>0</v>
      </c>
      <c r="C15" s="21">
        <v>0</v>
      </c>
      <c r="D15" s="21">
        <v>540</v>
      </c>
      <c r="E15" s="21">
        <v>340</v>
      </c>
      <c r="F15" s="22">
        <f t="shared" si="0"/>
        <v>0</v>
      </c>
      <c r="G15" s="21">
        <v>340</v>
      </c>
      <c r="H15" s="21">
        <v>540</v>
      </c>
      <c r="I15" s="1"/>
      <c r="J15" s="1"/>
      <c r="K15" s="1"/>
      <c r="L15" s="1"/>
      <c r="M15" s="1"/>
    </row>
    <row r="16" spans="1:13" ht="24.75">
      <c r="A16" s="20" t="s">
        <v>60</v>
      </c>
      <c r="B16" s="21">
        <v>0</v>
      </c>
      <c r="C16" s="21">
        <v>0</v>
      </c>
      <c r="D16" s="21">
        <v>4778</v>
      </c>
      <c r="E16" s="21">
        <v>5450</v>
      </c>
      <c r="F16" s="22">
        <f t="shared" si="0"/>
        <v>0</v>
      </c>
      <c r="G16" s="21">
        <v>5450</v>
      </c>
      <c r="H16" s="21">
        <v>4780</v>
      </c>
      <c r="I16" s="1"/>
      <c r="J16" s="1"/>
      <c r="K16" s="1"/>
      <c r="L16" s="1"/>
      <c r="M16" s="1"/>
    </row>
    <row r="17" spans="1:13" ht="24.75">
      <c r="A17" s="20" t="s">
        <v>13</v>
      </c>
      <c r="B17" s="21">
        <v>0</v>
      </c>
      <c r="C17" s="21">
        <v>0</v>
      </c>
      <c r="D17" s="21">
        <v>0</v>
      </c>
      <c r="E17" s="21">
        <v>0</v>
      </c>
      <c r="F17" s="22">
        <v>0</v>
      </c>
      <c r="G17" s="21">
        <v>100</v>
      </c>
      <c r="H17" s="21">
        <v>130</v>
      </c>
      <c r="I17" s="1"/>
      <c r="J17" s="1"/>
      <c r="K17" s="1"/>
      <c r="L17" s="1"/>
      <c r="M17" s="1"/>
    </row>
    <row r="18" spans="1:13" ht="24.75">
      <c r="A18" s="20" t="s">
        <v>14</v>
      </c>
      <c r="B18" s="28"/>
      <c r="C18" s="21"/>
      <c r="D18" s="21"/>
      <c r="E18" s="21"/>
      <c r="F18" s="22"/>
      <c r="G18" s="21"/>
      <c r="H18" s="21"/>
      <c r="I18" s="1"/>
      <c r="J18" s="1"/>
      <c r="K18" s="1"/>
      <c r="L18" s="1"/>
      <c r="M18" s="1"/>
    </row>
    <row r="19" spans="1:13" ht="24.75">
      <c r="A19" s="20" t="s">
        <v>15</v>
      </c>
      <c r="B19" s="21">
        <v>250</v>
      </c>
      <c r="C19" s="21">
        <v>180</v>
      </c>
      <c r="D19" s="21">
        <v>260</v>
      </c>
      <c r="E19" s="21">
        <v>540</v>
      </c>
      <c r="F19" s="22">
        <f t="shared" si="0"/>
        <v>0</v>
      </c>
      <c r="G19" s="21">
        <v>540</v>
      </c>
      <c r="H19" s="21">
        <v>260</v>
      </c>
      <c r="I19" s="1"/>
      <c r="J19" s="1"/>
      <c r="K19" s="1"/>
      <c r="L19" s="1"/>
      <c r="M19" s="1"/>
    </row>
    <row r="20" spans="1:13" ht="24.75">
      <c r="A20" s="23" t="s">
        <v>16</v>
      </c>
      <c r="B20" s="24"/>
      <c r="C20" s="24"/>
      <c r="D20" s="24"/>
      <c r="E20" s="24"/>
      <c r="F20" s="25"/>
      <c r="G20" s="24"/>
      <c r="H20" s="24"/>
      <c r="I20" s="1"/>
      <c r="J20" s="1"/>
      <c r="K20" s="1"/>
      <c r="L20" s="1"/>
      <c r="M20" s="1"/>
    </row>
    <row r="21" spans="1:13" ht="24.75">
      <c r="A21" s="148"/>
      <c r="B21" s="149"/>
      <c r="C21" s="149"/>
      <c r="D21" s="149"/>
      <c r="E21" s="149"/>
      <c r="F21" s="150"/>
      <c r="G21" s="157">
        <v>18</v>
      </c>
      <c r="H21" s="149"/>
      <c r="I21" s="1"/>
      <c r="J21" s="1"/>
      <c r="K21" s="1"/>
      <c r="L21" s="1"/>
      <c r="M21" s="1"/>
    </row>
    <row r="22" spans="1:13" ht="24.75">
      <c r="A22" s="100" t="s">
        <v>17</v>
      </c>
      <c r="B22" s="65">
        <v>2230</v>
      </c>
      <c r="C22" s="65">
        <v>1860</v>
      </c>
      <c r="D22" s="65">
        <v>2470</v>
      </c>
      <c r="E22" s="65">
        <v>1970</v>
      </c>
      <c r="F22" s="27">
        <f t="shared" si="0"/>
        <v>0</v>
      </c>
      <c r="G22" s="65">
        <v>1970</v>
      </c>
      <c r="H22" s="65">
        <v>2470</v>
      </c>
      <c r="I22" s="1"/>
      <c r="J22" s="1"/>
      <c r="K22" s="1"/>
      <c r="L22" s="1"/>
      <c r="M22" s="1"/>
    </row>
    <row r="23" spans="1:13" ht="24.75">
      <c r="A23" s="20" t="s">
        <v>18</v>
      </c>
      <c r="B23" s="21">
        <v>8770</v>
      </c>
      <c r="C23" s="21">
        <v>38127</v>
      </c>
      <c r="D23" s="21">
        <v>9990</v>
      </c>
      <c r="E23" s="21">
        <v>7500</v>
      </c>
      <c r="F23" s="22">
        <f t="shared" si="0"/>
        <v>0</v>
      </c>
      <c r="G23" s="21">
        <v>7500</v>
      </c>
      <c r="H23" s="21">
        <v>9990</v>
      </c>
      <c r="I23" s="1"/>
      <c r="J23" s="1"/>
      <c r="K23" s="1"/>
      <c r="L23" s="1"/>
      <c r="M23" s="1"/>
    </row>
    <row r="24" spans="1:13" ht="24.75">
      <c r="A24" s="20" t="s">
        <v>19</v>
      </c>
      <c r="B24" s="21">
        <v>20900</v>
      </c>
      <c r="C24" s="21">
        <v>32490</v>
      </c>
      <c r="D24" s="21">
        <v>20220</v>
      </c>
      <c r="E24" s="21">
        <v>30400</v>
      </c>
      <c r="F24" s="22">
        <f t="shared" si="0"/>
        <v>0</v>
      </c>
      <c r="G24" s="21">
        <v>30400</v>
      </c>
      <c r="H24" s="21">
        <v>20220</v>
      </c>
      <c r="I24" s="1"/>
      <c r="J24" s="1"/>
      <c r="K24" s="1"/>
      <c r="L24" s="1"/>
      <c r="M24" s="1"/>
    </row>
    <row r="25" spans="1:13" ht="24.75">
      <c r="A25" s="20" t="s">
        <v>20</v>
      </c>
      <c r="B25" s="21">
        <v>468995</v>
      </c>
      <c r="C25" s="21">
        <v>65186</v>
      </c>
      <c r="D25" s="21">
        <v>16314</v>
      </c>
      <c r="E25" s="21">
        <v>186962</v>
      </c>
      <c r="F25" s="22">
        <f t="shared" si="0"/>
        <v>0.0010697360961050909</v>
      </c>
      <c r="G25" s="21">
        <v>186960</v>
      </c>
      <c r="H25" s="21">
        <v>16310</v>
      </c>
      <c r="I25" s="1"/>
      <c r="J25" s="1"/>
      <c r="K25" s="1"/>
      <c r="L25" s="1"/>
      <c r="M25" s="1"/>
    </row>
    <row r="26" spans="1:13" ht="24.75">
      <c r="A26" s="20" t="s">
        <v>21</v>
      </c>
      <c r="B26" s="21">
        <v>0</v>
      </c>
      <c r="C26" s="21">
        <v>0</v>
      </c>
      <c r="D26" s="21">
        <v>0</v>
      </c>
      <c r="E26" s="21">
        <v>0</v>
      </c>
      <c r="F26" s="144" t="s">
        <v>164</v>
      </c>
      <c r="G26" s="21">
        <v>100</v>
      </c>
      <c r="H26" s="21">
        <v>180</v>
      </c>
      <c r="I26" s="3"/>
      <c r="J26" s="3"/>
      <c r="K26" s="3"/>
      <c r="L26" s="3"/>
      <c r="M26" s="3"/>
    </row>
    <row r="27" spans="1:13" ht="24.75">
      <c r="A27" s="20" t="s">
        <v>25</v>
      </c>
      <c r="B27" s="21">
        <v>47500</v>
      </c>
      <c r="C27" s="21">
        <v>38000</v>
      </c>
      <c r="D27" s="21">
        <v>41750</v>
      </c>
      <c r="E27" s="21">
        <v>57750</v>
      </c>
      <c r="F27" s="22">
        <f t="shared" si="0"/>
        <v>0</v>
      </c>
      <c r="G27" s="21">
        <v>57750</v>
      </c>
      <c r="H27" s="21">
        <v>41750</v>
      </c>
      <c r="I27" s="3"/>
      <c r="J27" s="3"/>
      <c r="K27" s="3"/>
      <c r="L27" s="3"/>
      <c r="M27" s="3"/>
    </row>
    <row r="28" spans="1:13" ht="24.75">
      <c r="A28" s="20" t="s">
        <v>26</v>
      </c>
      <c r="B28" s="21"/>
      <c r="C28" s="21"/>
      <c r="D28" s="21"/>
      <c r="E28" s="21"/>
      <c r="F28" s="22"/>
      <c r="G28" s="21"/>
      <c r="H28" s="21"/>
      <c r="I28" s="3"/>
      <c r="J28" s="3"/>
      <c r="K28" s="3"/>
      <c r="L28" s="3"/>
      <c r="M28" s="3"/>
    </row>
    <row r="29" spans="1:13" ht="24.75">
      <c r="A29" s="20" t="s">
        <v>22</v>
      </c>
      <c r="B29" s="21">
        <v>900</v>
      </c>
      <c r="C29" s="21">
        <v>600</v>
      </c>
      <c r="D29" s="21">
        <v>0</v>
      </c>
      <c r="E29" s="21">
        <v>300</v>
      </c>
      <c r="F29" s="22">
        <f t="shared" si="0"/>
        <v>0</v>
      </c>
      <c r="G29" s="21">
        <v>300</v>
      </c>
      <c r="H29" s="21">
        <v>100</v>
      </c>
      <c r="I29" s="3"/>
      <c r="J29" s="3"/>
      <c r="K29" s="3"/>
      <c r="L29" s="3"/>
      <c r="M29" s="3"/>
    </row>
    <row r="30" spans="1:13" ht="24.75">
      <c r="A30" s="20" t="s">
        <v>23</v>
      </c>
      <c r="B30" s="21"/>
      <c r="C30" s="21"/>
      <c r="D30" s="21"/>
      <c r="E30" s="21"/>
      <c r="F30" s="22"/>
      <c r="G30" s="21"/>
      <c r="H30" s="21"/>
      <c r="I30" s="3"/>
      <c r="J30" s="3"/>
      <c r="K30" s="3"/>
      <c r="L30" s="3"/>
      <c r="M30" s="3"/>
    </row>
    <row r="31" spans="1:13" ht="24.75">
      <c r="A31" s="20" t="s">
        <v>24</v>
      </c>
      <c r="B31" s="21">
        <v>4000</v>
      </c>
      <c r="C31" s="21">
        <v>4000</v>
      </c>
      <c r="D31" s="21">
        <v>0</v>
      </c>
      <c r="E31" s="21">
        <v>2000</v>
      </c>
      <c r="F31" s="22">
        <f t="shared" si="0"/>
        <v>0</v>
      </c>
      <c r="G31" s="21">
        <v>2000</v>
      </c>
      <c r="H31" s="21">
        <v>1000</v>
      </c>
      <c r="I31" s="3"/>
      <c r="J31" s="3"/>
      <c r="K31" s="3"/>
      <c r="L31" s="3"/>
      <c r="M31" s="3"/>
    </row>
    <row r="32" spans="1:13" ht="24.75">
      <c r="A32" s="20" t="s">
        <v>59</v>
      </c>
      <c r="B32" s="21">
        <v>0</v>
      </c>
      <c r="C32" s="21">
        <v>0</v>
      </c>
      <c r="D32" s="21">
        <v>840</v>
      </c>
      <c r="E32" s="21">
        <v>1230</v>
      </c>
      <c r="F32" s="22">
        <f t="shared" si="0"/>
        <v>0</v>
      </c>
      <c r="G32" s="21">
        <v>1230</v>
      </c>
      <c r="H32" s="21">
        <v>840</v>
      </c>
      <c r="I32" s="3"/>
      <c r="J32" s="3"/>
      <c r="K32" s="3"/>
      <c r="L32" s="3"/>
      <c r="M32" s="3"/>
    </row>
    <row r="33" spans="1:13" ht="24.75">
      <c r="A33" s="23" t="s">
        <v>27</v>
      </c>
      <c r="B33" s="24">
        <v>7983.6</v>
      </c>
      <c r="C33" s="24">
        <v>5891.6</v>
      </c>
      <c r="D33" s="24">
        <v>1900</v>
      </c>
      <c r="E33" s="24">
        <v>900</v>
      </c>
      <c r="F33" s="85">
        <f t="shared" si="0"/>
        <v>0</v>
      </c>
      <c r="G33" s="24">
        <v>900</v>
      </c>
      <c r="H33" s="24">
        <v>1900</v>
      </c>
      <c r="I33" s="3"/>
      <c r="J33" s="3"/>
      <c r="K33" s="3"/>
      <c r="L33" s="3"/>
      <c r="M33" s="3"/>
    </row>
    <row r="34" spans="1:8" ht="24.75">
      <c r="A34" s="5" t="s">
        <v>28</v>
      </c>
      <c r="B34" s="6">
        <f>SUM(B16:B33)</f>
        <v>561528.6</v>
      </c>
      <c r="C34" s="6">
        <f>SUM(C16:C33)</f>
        <v>186334.6</v>
      </c>
      <c r="D34" s="35">
        <f>SUM(D14:D33)</f>
        <v>103465.8</v>
      </c>
      <c r="E34" s="35">
        <f>SUM(E14:E33)</f>
        <v>299687.6</v>
      </c>
      <c r="F34" s="7">
        <f t="shared" si="0"/>
        <v>-0.067536995191</v>
      </c>
      <c r="G34" s="6">
        <f>G14+G15+G16+G17+G19+G22+G23+G24+G25+G26+G27+G29+G31+G32+G33</f>
        <v>299890</v>
      </c>
      <c r="H34" s="6">
        <f>SUM(H14:H33)</f>
        <v>104870</v>
      </c>
    </row>
    <row r="35" spans="1:8" ht="24.75">
      <c r="A35" s="152"/>
      <c r="B35" s="153"/>
      <c r="C35" s="153"/>
      <c r="D35" s="154"/>
      <c r="E35" s="154"/>
      <c r="F35" s="150"/>
      <c r="G35" s="158">
        <v>19</v>
      </c>
      <c r="H35" s="153"/>
    </row>
    <row r="36" spans="1:8" ht="24.75">
      <c r="A36" s="151" t="s">
        <v>29</v>
      </c>
      <c r="B36" s="26"/>
      <c r="C36" s="26"/>
      <c r="D36" s="26"/>
      <c r="E36" s="26"/>
      <c r="F36" s="27"/>
      <c r="G36" s="26"/>
      <c r="H36" s="26"/>
    </row>
    <row r="37" spans="1:8" ht="24.75">
      <c r="A37" s="20" t="s">
        <v>30</v>
      </c>
      <c r="B37" s="21">
        <v>0</v>
      </c>
      <c r="C37" s="21">
        <v>0</v>
      </c>
      <c r="D37" s="21">
        <v>0</v>
      </c>
      <c r="E37" s="21">
        <v>1000</v>
      </c>
      <c r="F37" s="22">
        <f t="shared" si="0"/>
        <v>0</v>
      </c>
      <c r="G37" s="21">
        <v>1000</v>
      </c>
      <c r="H37" s="21">
        <v>100</v>
      </c>
    </row>
    <row r="38" spans="1:8" ht="24.75">
      <c r="A38" s="23" t="s">
        <v>31</v>
      </c>
      <c r="B38" s="24">
        <v>334786.35</v>
      </c>
      <c r="C38" s="24">
        <v>298072.75</v>
      </c>
      <c r="D38" s="24">
        <v>293383.24</v>
      </c>
      <c r="E38" s="24">
        <v>242466.59</v>
      </c>
      <c r="F38" s="85">
        <f t="shared" si="0"/>
        <v>-0.0014063793283864356</v>
      </c>
      <c r="G38" s="24">
        <v>242470</v>
      </c>
      <c r="H38" s="24">
        <v>293380</v>
      </c>
    </row>
    <row r="39" spans="1:8" ht="24.75">
      <c r="A39" s="5" t="s">
        <v>32</v>
      </c>
      <c r="B39" s="6">
        <f>SUM(B37:B38)</f>
        <v>334786.35</v>
      </c>
      <c r="C39" s="6">
        <f>SUM(C37:C38)</f>
        <v>298072.75</v>
      </c>
      <c r="D39" s="6">
        <f>SUM(D37:D38)</f>
        <v>293383.24</v>
      </c>
      <c r="E39" s="6">
        <f>SUM(E37:E38)</f>
        <v>243466.59</v>
      </c>
      <c r="F39" s="7">
        <f t="shared" si="0"/>
        <v>-0.0014006028506841504</v>
      </c>
      <c r="G39" s="6">
        <f>SUM(G37:G38)</f>
        <v>243470</v>
      </c>
      <c r="H39" s="6">
        <f>SUM(H37:H38)</f>
        <v>293480</v>
      </c>
    </row>
    <row r="40" spans="1:8" ht="24.75">
      <c r="A40" s="17" t="s">
        <v>33</v>
      </c>
      <c r="B40" s="26"/>
      <c r="C40" s="26"/>
      <c r="D40" s="26"/>
      <c r="E40" s="26"/>
      <c r="F40" s="27"/>
      <c r="G40" s="26"/>
      <c r="H40" s="26"/>
    </row>
    <row r="41" spans="1:8" ht="24.75">
      <c r="A41" s="20" t="s">
        <v>34</v>
      </c>
      <c r="B41" s="21">
        <v>174000</v>
      </c>
      <c r="C41" s="21">
        <v>109700</v>
      </c>
      <c r="D41" s="21">
        <v>277000</v>
      </c>
      <c r="E41" s="21">
        <v>21500</v>
      </c>
      <c r="F41" s="22">
        <f t="shared" si="0"/>
        <v>0</v>
      </c>
      <c r="G41" s="21">
        <v>21500</v>
      </c>
      <c r="H41" s="21">
        <v>100000</v>
      </c>
    </row>
    <row r="42" spans="1:8" ht="24.75">
      <c r="A42" s="20" t="s">
        <v>35</v>
      </c>
      <c r="B42" s="21">
        <v>288</v>
      </c>
      <c r="C42" s="21">
        <v>21</v>
      </c>
      <c r="D42" s="21">
        <v>19</v>
      </c>
      <c r="E42" s="21">
        <v>154</v>
      </c>
      <c r="F42" s="22">
        <f t="shared" si="0"/>
        <v>2.5974025974025974</v>
      </c>
      <c r="G42" s="21">
        <v>150</v>
      </c>
      <c r="H42" s="21">
        <v>20</v>
      </c>
    </row>
    <row r="43" spans="1:8" ht="24.75">
      <c r="A43" s="20" t="s">
        <v>36</v>
      </c>
      <c r="B43" s="28"/>
      <c r="C43" s="28"/>
      <c r="D43" s="21"/>
      <c r="E43" s="21"/>
      <c r="F43" s="22"/>
      <c r="G43" s="28"/>
      <c r="H43" s="28"/>
    </row>
    <row r="44" spans="1:8" ht="24.75">
      <c r="A44" s="20" t="s">
        <v>37</v>
      </c>
      <c r="B44" s="21">
        <v>61900</v>
      </c>
      <c r="C44" s="21">
        <v>47300</v>
      </c>
      <c r="D44" s="21">
        <v>77950</v>
      </c>
      <c r="E44" s="21">
        <v>109200</v>
      </c>
      <c r="F44" s="22">
        <f t="shared" si="0"/>
        <v>0</v>
      </c>
      <c r="G44" s="21">
        <v>109200</v>
      </c>
      <c r="H44" s="21">
        <v>77950</v>
      </c>
    </row>
    <row r="45" spans="1:8" ht="24.75">
      <c r="A45" s="20" t="s">
        <v>38</v>
      </c>
      <c r="B45" s="21">
        <v>20547</v>
      </c>
      <c r="C45" s="21">
        <v>10349</v>
      </c>
      <c r="D45" s="21">
        <v>17276</v>
      </c>
      <c r="E45" s="21">
        <v>2337</v>
      </c>
      <c r="F45" s="22">
        <f t="shared" si="0"/>
        <v>-0.12836970474967907</v>
      </c>
      <c r="G45" s="21">
        <v>2340</v>
      </c>
      <c r="H45" s="21">
        <v>17280</v>
      </c>
    </row>
    <row r="46" spans="1:8" ht="24.75">
      <c r="A46" s="20"/>
      <c r="B46" s="21"/>
      <c r="C46" s="21"/>
      <c r="D46" s="21"/>
      <c r="E46" s="21"/>
      <c r="F46" s="22"/>
      <c r="G46" s="21"/>
      <c r="H46" s="21"/>
    </row>
    <row r="47" spans="1:8" ht="24.75">
      <c r="A47" s="23"/>
      <c r="B47" s="24"/>
      <c r="C47" s="24"/>
      <c r="D47" s="24"/>
      <c r="E47" s="24"/>
      <c r="F47" s="85"/>
      <c r="G47" s="24"/>
      <c r="H47" s="24"/>
    </row>
    <row r="48" spans="1:8" ht="24.75">
      <c r="A48" s="5" t="s">
        <v>39</v>
      </c>
      <c r="B48" s="6">
        <f>SUM(B41:B47)</f>
        <v>256735</v>
      </c>
      <c r="C48" s="6">
        <f>SUM(C41:C47)</f>
        <v>167370</v>
      </c>
      <c r="D48" s="35">
        <f>SUM(D41:D47)</f>
        <v>372245</v>
      </c>
      <c r="E48" s="35">
        <f>SUM(E41:E47)</f>
        <v>133191</v>
      </c>
      <c r="F48" s="7">
        <f t="shared" si="0"/>
        <v>0.0007508014805805197</v>
      </c>
      <c r="G48" s="6">
        <f>SUM(G41:G45)</f>
        <v>133190</v>
      </c>
      <c r="H48" s="6">
        <f>SUM(H41:H45)</f>
        <v>195250</v>
      </c>
    </row>
    <row r="49" spans="1:8" ht="24.75">
      <c r="A49" s="152"/>
      <c r="B49" s="153"/>
      <c r="C49" s="153"/>
      <c r="D49" s="154"/>
      <c r="E49" s="154"/>
      <c r="F49" s="150"/>
      <c r="G49" s="158">
        <v>20</v>
      </c>
      <c r="H49" s="153"/>
    </row>
    <row r="50" spans="1:8" ht="24.75">
      <c r="A50" s="155" t="s">
        <v>63</v>
      </c>
      <c r="B50" s="156"/>
      <c r="C50" s="156"/>
      <c r="D50" s="156"/>
      <c r="E50" s="156"/>
      <c r="F50" s="27"/>
      <c r="G50" s="156"/>
      <c r="H50" s="156"/>
    </row>
    <row r="51" spans="1:8" ht="24.75">
      <c r="A51" s="23" t="s">
        <v>64</v>
      </c>
      <c r="B51" s="30"/>
      <c r="C51" s="30"/>
      <c r="D51" s="30"/>
      <c r="E51" s="30"/>
      <c r="F51" s="85"/>
      <c r="G51" s="25">
        <v>130</v>
      </c>
      <c r="H51" s="25">
        <v>500</v>
      </c>
    </row>
    <row r="52" spans="1:8" ht="24.75">
      <c r="A52" s="5" t="s">
        <v>65</v>
      </c>
      <c r="B52" s="6">
        <v>0</v>
      </c>
      <c r="C52" s="6">
        <v>0</v>
      </c>
      <c r="D52" s="6">
        <v>0</v>
      </c>
      <c r="E52" s="6">
        <v>0</v>
      </c>
      <c r="F52" s="7"/>
      <c r="G52" s="6">
        <f>G51</f>
        <v>130</v>
      </c>
      <c r="H52" s="6">
        <f>H51</f>
        <v>500</v>
      </c>
    </row>
    <row r="53" spans="1:8" ht="24.75">
      <c r="A53" s="17" t="s">
        <v>40</v>
      </c>
      <c r="B53" s="18"/>
      <c r="C53" s="18"/>
      <c r="D53" s="18"/>
      <c r="E53" s="18"/>
      <c r="F53" s="27"/>
      <c r="G53" s="18"/>
      <c r="H53" s="18"/>
    </row>
    <row r="54" spans="1:8" ht="24.75">
      <c r="A54" s="20" t="s">
        <v>69</v>
      </c>
      <c r="B54" s="21">
        <v>0</v>
      </c>
      <c r="C54" s="21">
        <v>0</v>
      </c>
      <c r="D54" s="21">
        <v>429857.17</v>
      </c>
      <c r="E54" s="21">
        <v>426423.31</v>
      </c>
      <c r="F54" s="22">
        <f t="shared" si="0"/>
        <v>0.0007762239826893309</v>
      </c>
      <c r="G54" s="21">
        <v>426420</v>
      </c>
      <c r="H54" s="21">
        <v>429860</v>
      </c>
    </row>
    <row r="55" spans="1:8" ht="24.75">
      <c r="A55" s="20" t="s">
        <v>41</v>
      </c>
      <c r="B55" s="21">
        <v>9504138.51</v>
      </c>
      <c r="C55" s="21">
        <v>7875088.97</v>
      </c>
      <c r="D55" s="21">
        <v>8120961.92</v>
      </c>
      <c r="E55" s="21">
        <v>8267139.96</v>
      </c>
      <c r="F55" s="22">
        <f t="shared" si="0"/>
        <v>-4.838432666047776E-07</v>
      </c>
      <c r="G55" s="21">
        <v>8267140</v>
      </c>
      <c r="H55" s="21">
        <v>8120960</v>
      </c>
    </row>
    <row r="56" spans="1:8" ht="24.75">
      <c r="A56" s="20" t="s">
        <v>42</v>
      </c>
      <c r="B56" s="21">
        <v>3522636.07</v>
      </c>
      <c r="C56" s="21">
        <v>3759544.36</v>
      </c>
      <c r="D56" s="21">
        <v>3755002.52</v>
      </c>
      <c r="E56" s="21">
        <v>3705446.73</v>
      </c>
      <c r="F56" s="22">
        <f t="shared" si="0"/>
        <v>-8.824846876205467E-05</v>
      </c>
      <c r="G56" s="21">
        <v>3705450</v>
      </c>
      <c r="H56" s="21">
        <v>3775000</v>
      </c>
    </row>
    <row r="57" spans="1:8" ht="24.75">
      <c r="A57" s="20" t="s">
        <v>43</v>
      </c>
      <c r="B57" s="21">
        <v>90555.4</v>
      </c>
      <c r="C57" s="21">
        <v>102357.79</v>
      </c>
      <c r="D57" s="21">
        <v>105715.1</v>
      </c>
      <c r="E57" s="21">
        <v>88472.84</v>
      </c>
      <c r="F57" s="22">
        <f t="shared" si="0"/>
        <v>0.0032100246810168043</v>
      </c>
      <c r="G57" s="21">
        <v>88470</v>
      </c>
      <c r="H57" s="21">
        <v>105720</v>
      </c>
    </row>
    <row r="58" spans="1:8" ht="24.75">
      <c r="A58" s="20" t="s">
        <v>44</v>
      </c>
      <c r="B58" s="21">
        <v>1491321.81</v>
      </c>
      <c r="C58" s="21">
        <v>1637633.34</v>
      </c>
      <c r="D58" s="21">
        <v>1843059.01</v>
      </c>
      <c r="E58" s="21">
        <v>1794652.07</v>
      </c>
      <c r="F58" s="22">
        <f t="shared" si="0"/>
        <v>0.00011534269147028552</v>
      </c>
      <c r="G58" s="21">
        <v>1794650</v>
      </c>
      <c r="H58" s="21">
        <v>1843060</v>
      </c>
    </row>
    <row r="59" spans="1:8" ht="24.75">
      <c r="A59" s="20" t="s">
        <v>45</v>
      </c>
      <c r="B59" s="21">
        <v>3260414.54</v>
      </c>
      <c r="C59" s="21">
        <v>2227505.91</v>
      </c>
      <c r="D59" s="21">
        <v>3174985.96</v>
      </c>
      <c r="E59" s="21">
        <v>3860311.39</v>
      </c>
      <c r="F59" s="22">
        <f t="shared" si="0"/>
        <v>3.6007457940598544E-05</v>
      </c>
      <c r="G59" s="21">
        <v>3860310</v>
      </c>
      <c r="H59" s="21">
        <v>3174990</v>
      </c>
    </row>
    <row r="60" spans="1:8" ht="24.75">
      <c r="A60" s="20" t="s">
        <v>46</v>
      </c>
      <c r="B60" s="21">
        <v>0</v>
      </c>
      <c r="C60" s="21">
        <v>4010</v>
      </c>
      <c r="D60" s="21">
        <v>27600</v>
      </c>
      <c r="E60" s="21">
        <v>51167.69</v>
      </c>
      <c r="F60" s="22">
        <f t="shared" si="0"/>
        <v>-0.0045145676890976935</v>
      </c>
      <c r="G60" s="21">
        <v>51170</v>
      </c>
      <c r="H60" s="21">
        <v>27600</v>
      </c>
    </row>
    <row r="61" spans="1:8" ht="24.75">
      <c r="A61" s="20" t="s">
        <v>47</v>
      </c>
      <c r="B61" s="21">
        <v>550300.01</v>
      </c>
      <c r="C61" s="21">
        <v>626544.27</v>
      </c>
      <c r="D61" s="21">
        <v>815013.05</v>
      </c>
      <c r="E61" s="21">
        <v>680617.24</v>
      </c>
      <c r="F61" s="22">
        <f t="shared" si="0"/>
        <v>-0.0004055142652585928</v>
      </c>
      <c r="G61" s="21">
        <v>680620</v>
      </c>
      <c r="H61" s="21">
        <v>815010</v>
      </c>
    </row>
    <row r="62" spans="1:8" ht="24.75">
      <c r="A62" s="23" t="s">
        <v>48</v>
      </c>
      <c r="B62" s="24">
        <v>134460.36</v>
      </c>
      <c r="C62" s="24">
        <v>128651.24</v>
      </c>
      <c r="D62" s="24">
        <v>91375.06</v>
      </c>
      <c r="E62" s="24">
        <v>61291.95</v>
      </c>
      <c r="F62" s="25">
        <f t="shared" si="0"/>
        <v>0.003181494470313132</v>
      </c>
      <c r="G62" s="24">
        <v>61290</v>
      </c>
      <c r="H62" s="24">
        <v>91380</v>
      </c>
    </row>
    <row r="63" spans="1:8" ht="24.75">
      <c r="A63" s="148"/>
      <c r="B63" s="149"/>
      <c r="C63" s="149"/>
      <c r="D63" s="149"/>
      <c r="E63" s="149"/>
      <c r="F63" s="150"/>
      <c r="G63" s="157">
        <v>21</v>
      </c>
      <c r="H63" s="149"/>
    </row>
    <row r="64" spans="1:8" ht="24.75">
      <c r="A64" s="100" t="s">
        <v>49</v>
      </c>
      <c r="B64" s="65">
        <v>1248.66</v>
      </c>
      <c r="C64" s="65">
        <v>8573.66</v>
      </c>
      <c r="D64" s="65">
        <v>10459</v>
      </c>
      <c r="E64" s="65">
        <v>13690.34</v>
      </c>
      <c r="F64" s="27">
        <f t="shared" si="0"/>
        <v>0.0024835029663262237</v>
      </c>
      <c r="G64" s="65">
        <v>13690</v>
      </c>
      <c r="H64" s="65">
        <v>10460</v>
      </c>
    </row>
    <row r="65" spans="1:8" ht="24.75">
      <c r="A65" s="20" t="s">
        <v>70</v>
      </c>
      <c r="B65" s="21">
        <v>1970944</v>
      </c>
      <c r="C65" s="21">
        <v>1467419</v>
      </c>
      <c r="D65" s="21">
        <v>2464496</v>
      </c>
      <c r="E65" s="21">
        <v>1704923</v>
      </c>
      <c r="F65" s="22">
        <f t="shared" si="0"/>
        <v>0.0001759610258058575</v>
      </c>
      <c r="G65" s="21">
        <v>1704920</v>
      </c>
      <c r="H65" s="21">
        <v>2464500</v>
      </c>
    </row>
    <row r="66" spans="1:8" ht="24.75">
      <c r="A66" s="20" t="s">
        <v>50</v>
      </c>
      <c r="B66" s="21"/>
      <c r="C66" s="28"/>
      <c r="D66" s="21"/>
      <c r="E66" s="21"/>
      <c r="F66" s="22"/>
      <c r="G66" s="28"/>
      <c r="H66" s="28"/>
    </row>
    <row r="67" spans="1:8" ht="24.75">
      <c r="A67" s="23" t="s">
        <v>51</v>
      </c>
      <c r="B67" s="24">
        <v>0</v>
      </c>
      <c r="C67" s="24">
        <v>0</v>
      </c>
      <c r="D67" s="24"/>
      <c r="E67" s="24"/>
      <c r="F67" s="85"/>
      <c r="G67" s="24">
        <v>0</v>
      </c>
      <c r="H67" s="24">
        <v>0</v>
      </c>
    </row>
    <row r="68" spans="1:9" ht="25.5" thickBot="1">
      <c r="A68" s="5" t="s">
        <v>52</v>
      </c>
      <c r="B68" s="11">
        <f>SUM(B54:B67)</f>
        <v>20526019.360000003</v>
      </c>
      <c r="C68" s="11">
        <f>SUM(C54:C67)</f>
        <v>17837328.54</v>
      </c>
      <c r="D68" s="12">
        <f>SUM(D54:D67)</f>
        <v>20838524.79</v>
      </c>
      <c r="E68" s="12">
        <f>SUM(E54:E67)</f>
        <v>20654136.52</v>
      </c>
      <c r="F68" s="13">
        <f t="shared" si="0"/>
        <v>3.156752640440553E-05</v>
      </c>
      <c r="G68" s="11">
        <f>G54+G55+G56+G57+G58+G59+G60+G61+G62+G64+G65</f>
        <v>20654130</v>
      </c>
      <c r="H68" s="11">
        <f>SUM(H54:H67)</f>
        <v>20858540</v>
      </c>
      <c r="I68" s="37">
        <f>G12+G34+G39+G48+G52+G68</f>
        <v>22445080</v>
      </c>
    </row>
    <row r="69" spans="1:9" ht="25.5" thickTop="1">
      <c r="A69" s="4" t="s">
        <v>53</v>
      </c>
      <c r="B69" s="9"/>
      <c r="C69" s="9"/>
      <c r="D69" s="14"/>
      <c r="E69" s="14"/>
      <c r="F69" s="89"/>
      <c r="G69" s="9"/>
      <c r="H69" s="9"/>
      <c r="I69" s="37">
        <v>22055600</v>
      </c>
    </row>
    <row r="70" spans="1:9" ht="24.75">
      <c r="A70" s="32" t="s">
        <v>54</v>
      </c>
      <c r="B70" s="19">
        <v>9090493</v>
      </c>
      <c r="C70" s="19">
        <v>9554987</v>
      </c>
      <c r="D70" s="19">
        <v>8998535</v>
      </c>
      <c r="E70" s="19">
        <v>7736710</v>
      </c>
      <c r="F70" s="27">
        <f t="shared" si="0"/>
        <v>26.539963369442567</v>
      </c>
      <c r="G70" s="43">
        <v>5683390</v>
      </c>
      <c r="H70" s="43">
        <v>5483410</v>
      </c>
      <c r="I70" s="37">
        <f>SUM(I68:I69)</f>
        <v>44500680</v>
      </c>
    </row>
    <row r="71" spans="1:8" ht="24.75">
      <c r="A71" s="20" t="s">
        <v>55</v>
      </c>
      <c r="B71" s="28"/>
      <c r="C71" s="28"/>
      <c r="D71" s="21"/>
      <c r="E71" s="21"/>
      <c r="F71" s="22"/>
      <c r="G71" s="44"/>
      <c r="H71" s="44"/>
    </row>
    <row r="72" spans="1:8" ht="24.75">
      <c r="A72" s="20" t="s">
        <v>87</v>
      </c>
      <c r="B72" s="28"/>
      <c r="C72" s="28"/>
      <c r="D72" s="21"/>
      <c r="E72" s="21"/>
      <c r="F72" s="22"/>
      <c r="G72" s="143">
        <v>497250</v>
      </c>
      <c r="H72" s="45">
        <v>495170</v>
      </c>
    </row>
    <row r="73" spans="1:8" ht="24.75">
      <c r="A73" s="20" t="s">
        <v>74</v>
      </c>
      <c r="B73" s="28"/>
      <c r="C73" s="28"/>
      <c r="D73" s="21"/>
      <c r="E73" s="21"/>
      <c r="F73" s="22"/>
      <c r="G73" s="143">
        <v>1107300</v>
      </c>
      <c r="H73" s="45">
        <v>1157700</v>
      </c>
    </row>
    <row r="74" spans="1:8" ht="24.75">
      <c r="A74" s="20" t="s">
        <v>75</v>
      </c>
      <c r="B74" s="28"/>
      <c r="C74" s="28"/>
      <c r="D74" s="21"/>
      <c r="E74" s="21"/>
      <c r="F74" s="22"/>
      <c r="G74" s="143">
        <v>20000</v>
      </c>
      <c r="H74" s="45">
        <v>22000</v>
      </c>
    </row>
    <row r="75" spans="1:9" ht="24.75">
      <c r="A75" s="20" t="s">
        <v>76</v>
      </c>
      <c r="B75" s="28"/>
      <c r="C75" s="28"/>
      <c r="D75" s="21"/>
      <c r="E75" s="21"/>
      <c r="F75" s="22"/>
      <c r="G75" s="143">
        <v>300000</v>
      </c>
      <c r="H75" s="45">
        <v>288000</v>
      </c>
      <c r="I75" s="37" t="e">
        <f>G12+G34+G39+G48+G52+G68+#REF!</f>
        <v>#REF!</v>
      </c>
    </row>
    <row r="76" spans="1:9" ht="24.75">
      <c r="A76" s="159" t="s">
        <v>77</v>
      </c>
      <c r="B76" s="160"/>
      <c r="C76" s="160"/>
      <c r="D76" s="161"/>
      <c r="E76" s="161"/>
      <c r="F76" s="85"/>
      <c r="G76" s="162">
        <v>2247180</v>
      </c>
      <c r="H76" s="163"/>
      <c r="I76" s="37">
        <f>H76+H78+H79+H80+H81</f>
        <v>16406140</v>
      </c>
    </row>
    <row r="77" spans="1:9" ht="24.75">
      <c r="A77" s="148"/>
      <c r="B77" s="166"/>
      <c r="C77" s="166"/>
      <c r="D77" s="149"/>
      <c r="E77" s="149"/>
      <c r="F77" s="150"/>
      <c r="G77" s="157">
        <v>22</v>
      </c>
      <c r="H77" s="164"/>
      <c r="I77" s="37"/>
    </row>
    <row r="78" spans="1:9" ht="24.75">
      <c r="A78" s="64" t="s">
        <v>78</v>
      </c>
      <c r="B78" s="26"/>
      <c r="C78" s="26"/>
      <c r="D78" s="65"/>
      <c r="E78" s="65"/>
      <c r="F78" s="27"/>
      <c r="G78" s="165">
        <v>11163600</v>
      </c>
      <c r="H78" s="72"/>
      <c r="I78" s="37" t="e">
        <f>SUM(I75:I76)</f>
        <v>#REF!</v>
      </c>
    </row>
    <row r="79" spans="1:8" ht="22.5">
      <c r="A79" s="33" t="s">
        <v>79</v>
      </c>
      <c r="B79" s="28"/>
      <c r="C79" s="28"/>
      <c r="D79" s="21"/>
      <c r="E79" s="21"/>
      <c r="F79" s="22"/>
      <c r="G79" s="143">
        <v>3283200</v>
      </c>
      <c r="H79" s="78">
        <f>2286940+30000</f>
        <v>2316940</v>
      </c>
    </row>
    <row r="80" spans="1:8" ht="24.75">
      <c r="A80" s="20" t="s">
        <v>81</v>
      </c>
      <c r="B80" s="28"/>
      <c r="C80" s="28"/>
      <c r="D80" s="21"/>
      <c r="E80" s="21"/>
      <c r="F80" s="22"/>
      <c r="G80" s="143">
        <v>58000</v>
      </c>
      <c r="H80" s="79">
        <v>10998000</v>
      </c>
    </row>
    <row r="81" spans="1:8" ht="23.25">
      <c r="A81" s="63" t="s">
        <v>80</v>
      </c>
      <c r="B81" s="28"/>
      <c r="C81" s="28"/>
      <c r="D81" s="21"/>
      <c r="E81" s="21"/>
      <c r="F81" s="22"/>
      <c r="G81" s="143">
        <v>50000</v>
      </c>
      <c r="H81" s="78">
        <v>3091200</v>
      </c>
    </row>
    <row r="82" spans="1:8" ht="24.75">
      <c r="A82" s="88"/>
      <c r="B82" s="34"/>
      <c r="C82" s="34"/>
      <c r="D82" s="24"/>
      <c r="E82" s="24"/>
      <c r="F82" s="25"/>
      <c r="G82" s="142"/>
      <c r="H82" s="45">
        <v>58500</v>
      </c>
    </row>
    <row r="83" spans="1:8" ht="25.5" thickBot="1">
      <c r="A83" s="5" t="s">
        <v>56</v>
      </c>
      <c r="B83" s="11">
        <f>SUM(B70:B71)</f>
        <v>9090493</v>
      </c>
      <c r="C83" s="11">
        <f>SUM(C70:C71)</f>
        <v>9554987</v>
      </c>
      <c r="D83" s="12">
        <f>SUM(D70:D71)</f>
        <v>8998535</v>
      </c>
      <c r="E83" s="12">
        <f>SUM(E70:E71)</f>
        <v>7736710</v>
      </c>
      <c r="F83" s="13">
        <f>(E83-G83)*100/E83</f>
        <v>-215.50775458819058</v>
      </c>
      <c r="G83" s="11">
        <f>G70+G72+G73+G74+G75+G76+G78+G79+G80+G81</f>
        <v>24409920</v>
      </c>
      <c r="H83" s="45">
        <v>50000</v>
      </c>
    </row>
    <row r="84" spans="1:8" ht="26.25" thickBot="1" thickTop="1">
      <c r="A84" s="5" t="s">
        <v>57</v>
      </c>
      <c r="B84" s="15">
        <f>B12+B34+B39+B48+B68+B83</f>
        <v>31450965.650000002</v>
      </c>
      <c r="C84" s="15">
        <f>C12+C34+C39+C48+C68+C83</f>
        <v>28975131.39</v>
      </c>
      <c r="D84" s="15">
        <f>D12+D34+D39+D48+D68+D83</f>
        <v>31668998.38</v>
      </c>
      <c r="E84" s="15">
        <f>E12+E34+E39+E48+E68+E83</f>
        <v>30181465.21</v>
      </c>
      <c r="F84" s="13">
        <f>(E84-G84)*100/E84</f>
        <v>-55.2442854380561</v>
      </c>
      <c r="G84" s="15">
        <f>G12+G34+G48+G39+G52+G68+G83</f>
        <v>46855000</v>
      </c>
      <c r="H84" s="70"/>
    </row>
    <row r="85" spans="1:8" ht="25.5" thickBot="1">
      <c r="A85" s="1"/>
      <c r="B85" s="1"/>
      <c r="C85" s="1"/>
      <c r="D85" s="1"/>
      <c r="E85" s="1"/>
      <c r="F85" s="1"/>
      <c r="G85" s="1"/>
      <c r="H85" s="11">
        <f>SUM(H70:H83)</f>
        <v>23960920</v>
      </c>
    </row>
    <row r="86" spans="1:8" ht="26.25" thickBot="1" thickTop="1">
      <c r="A86" s="1"/>
      <c r="B86" s="1"/>
      <c r="C86" s="1"/>
      <c r="D86" s="1"/>
      <c r="E86" s="39"/>
      <c r="F86" s="39"/>
      <c r="G86" s="40"/>
      <c r="H86" s="15">
        <f>H12+H34+H39+H48+H68+H85+H52</f>
        <v>46476400</v>
      </c>
    </row>
    <row r="87" spans="1:8" ht="24.75">
      <c r="A87" s="1"/>
      <c r="B87" s="1"/>
      <c r="C87" s="1"/>
      <c r="D87" s="1"/>
      <c r="E87" s="39"/>
      <c r="F87" s="55"/>
      <c r="G87" s="53"/>
      <c r="H87" s="1"/>
    </row>
    <row r="88" spans="1:8" ht="24.75">
      <c r="A88" s="1"/>
      <c r="B88" s="1"/>
      <c r="C88" s="1"/>
      <c r="D88" s="1"/>
      <c r="E88" s="39"/>
      <c r="F88" s="41"/>
      <c r="G88" s="42"/>
      <c r="H88" s="40">
        <f>H12+H34+H39+H48+H52+H68</f>
        <v>22515480</v>
      </c>
    </row>
    <row r="89" spans="1:8" ht="24.75">
      <c r="A89" s="1"/>
      <c r="B89" s="1"/>
      <c r="C89" s="1"/>
      <c r="D89" s="1"/>
      <c r="E89" s="56"/>
      <c r="F89" s="57"/>
      <c r="G89" s="54"/>
      <c r="H89" s="53" t="e">
        <f>I75</f>
        <v>#REF!</v>
      </c>
    </row>
    <row r="90" spans="1:8" ht="24.75">
      <c r="A90" s="1"/>
      <c r="B90" s="1"/>
      <c r="C90" s="1"/>
      <c r="D90" s="1"/>
      <c r="E90" s="39"/>
      <c r="F90" s="41"/>
      <c r="G90" s="42"/>
      <c r="H90" s="42" t="e">
        <f>SUM(H88:H89)</f>
        <v>#REF!</v>
      </c>
    </row>
    <row r="91" spans="7:8" ht="24.75">
      <c r="G91" s="1">
        <v>23</v>
      </c>
      <c r="H91" s="54">
        <f>H79+H80+H81+H82+H83</f>
        <v>16514640</v>
      </c>
    </row>
    <row r="92" ht="23.25">
      <c r="H92" s="42" t="e">
        <f>SUM(H90:H91)</f>
        <v>#REF!</v>
      </c>
    </row>
  </sheetData>
  <sheetProtection/>
  <mergeCells count="12">
    <mergeCell ref="H6:H7"/>
    <mergeCell ref="B6:B7"/>
    <mergeCell ref="C6:C7"/>
    <mergeCell ref="D6:D7"/>
    <mergeCell ref="E6:E7"/>
    <mergeCell ref="G6:G7"/>
    <mergeCell ref="A1:G1"/>
    <mergeCell ref="A2:G2"/>
    <mergeCell ref="A3:G3"/>
    <mergeCell ref="A4:G4"/>
    <mergeCell ref="B5:E5"/>
    <mergeCell ref="F5:G5"/>
  </mergeCells>
  <printOptions/>
  <pageMargins left="0.1968503937007874" right="0.1968503937007874" top="0.5905511811023623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SheetLayoutView="100" zoomScalePageLayoutView="0" workbookViewId="0" topLeftCell="A76">
      <selection activeCell="E86" sqref="E86"/>
    </sheetView>
  </sheetViews>
  <sheetFormatPr defaultColWidth="9.140625" defaultRowHeight="15"/>
  <cols>
    <col min="1" max="1" width="57.00390625" style="0" customWidth="1"/>
    <col min="2" max="2" width="14.140625" style="0" customWidth="1"/>
    <col min="3" max="4" width="13.8515625" style="0" customWidth="1"/>
    <col min="5" max="5" width="14.140625" style="3" customWidth="1"/>
    <col min="6" max="6" width="8.00390625" style="0" customWidth="1"/>
    <col min="7" max="8" width="14.421875" style="0" customWidth="1"/>
    <col min="9" max="9" width="19.421875" style="0" bestFit="1" customWidth="1"/>
  </cols>
  <sheetData>
    <row r="1" spans="1:13" ht="27.75">
      <c r="A1" s="199" t="s">
        <v>6</v>
      </c>
      <c r="B1" s="199"/>
      <c r="C1" s="199"/>
      <c r="D1" s="199"/>
      <c r="E1" s="199"/>
      <c r="F1" s="199"/>
      <c r="G1" s="199"/>
      <c r="H1" s="1"/>
      <c r="I1" s="1"/>
      <c r="J1" s="1"/>
      <c r="K1" s="1"/>
      <c r="L1" s="1"/>
      <c r="M1" s="1"/>
    </row>
    <row r="2" spans="1:13" ht="27.75">
      <c r="A2" s="199" t="s">
        <v>113</v>
      </c>
      <c r="B2" s="199"/>
      <c r="C2" s="199"/>
      <c r="D2" s="199"/>
      <c r="E2" s="199"/>
      <c r="F2" s="199"/>
      <c r="G2" s="199"/>
      <c r="H2" s="1"/>
      <c r="I2" s="1"/>
      <c r="J2" s="1"/>
      <c r="K2" s="1"/>
      <c r="L2" s="1"/>
      <c r="M2" s="1"/>
    </row>
    <row r="3" spans="1:13" ht="27.75">
      <c r="A3" s="199" t="s">
        <v>0</v>
      </c>
      <c r="B3" s="199"/>
      <c r="C3" s="199"/>
      <c r="D3" s="199"/>
      <c r="E3" s="199"/>
      <c r="F3" s="199"/>
      <c r="G3" s="199"/>
      <c r="H3" s="1"/>
      <c r="I3" s="1"/>
      <c r="J3" s="1"/>
      <c r="K3" s="1"/>
      <c r="L3" s="1"/>
      <c r="M3" s="1"/>
    </row>
    <row r="4" spans="1:13" ht="27.75">
      <c r="A4" s="200" t="s">
        <v>1</v>
      </c>
      <c r="B4" s="200"/>
      <c r="C4" s="200"/>
      <c r="D4" s="200"/>
      <c r="E4" s="200"/>
      <c r="F4" s="200"/>
      <c r="G4" s="200"/>
      <c r="H4" s="1"/>
      <c r="I4" s="1"/>
      <c r="J4" s="1"/>
      <c r="K4" s="1"/>
      <c r="L4" s="1"/>
      <c r="M4" s="1"/>
    </row>
    <row r="5" spans="1:13" ht="24.75">
      <c r="A5" s="167" t="s">
        <v>2</v>
      </c>
      <c r="B5" s="201" t="s">
        <v>3</v>
      </c>
      <c r="C5" s="202"/>
      <c r="D5" s="202"/>
      <c r="E5" s="203"/>
      <c r="F5" s="202" t="s">
        <v>5</v>
      </c>
      <c r="G5" s="203"/>
      <c r="H5" s="1"/>
      <c r="I5" s="1"/>
      <c r="J5" s="1"/>
      <c r="K5" s="1"/>
      <c r="L5" s="1"/>
      <c r="M5" s="1"/>
    </row>
    <row r="6" spans="1:13" ht="24.75">
      <c r="A6" s="8"/>
      <c r="B6" s="204" t="s">
        <v>58</v>
      </c>
      <c r="C6" s="204" t="s">
        <v>61</v>
      </c>
      <c r="D6" s="206" t="s">
        <v>72</v>
      </c>
      <c r="E6" s="206" t="s">
        <v>114</v>
      </c>
      <c r="F6" s="167" t="s">
        <v>67</v>
      </c>
      <c r="G6" s="204" t="s">
        <v>115</v>
      </c>
      <c r="H6" s="204" t="s">
        <v>73</v>
      </c>
      <c r="I6" s="1"/>
      <c r="J6" s="1"/>
      <c r="K6" s="1"/>
      <c r="L6" s="1"/>
      <c r="M6" s="1"/>
    </row>
    <row r="7" spans="1:13" ht="24.75">
      <c r="A7" s="2"/>
      <c r="B7" s="205"/>
      <c r="C7" s="205"/>
      <c r="D7" s="207"/>
      <c r="E7" s="207"/>
      <c r="F7" s="168" t="s">
        <v>68</v>
      </c>
      <c r="G7" s="205"/>
      <c r="H7" s="205"/>
      <c r="I7" s="1"/>
      <c r="J7" s="1"/>
      <c r="K7" s="1"/>
      <c r="L7" s="1"/>
      <c r="M7" s="1"/>
    </row>
    <row r="8" spans="1:13" ht="24.75">
      <c r="A8" s="17" t="s">
        <v>7</v>
      </c>
      <c r="B8" s="19"/>
      <c r="C8" s="18"/>
      <c r="D8" s="18"/>
      <c r="E8" s="18"/>
      <c r="F8" s="18"/>
      <c r="G8" s="18"/>
      <c r="H8" s="18"/>
      <c r="I8" s="1"/>
      <c r="J8" s="1"/>
      <c r="K8" s="1"/>
      <c r="L8" s="1"/>
      <c r="M8" s="1"/>
    </row>
    <row r="9" spans="1:13" ht="24.75">
      <c r="A9" s="20" t="s">
        <v>8</v>
      </c>
      <c r="B9" s="21">
        <v>557782.58</v>
      </c>
      <c r="C9" s="21">
        <v>818102.91</v>
      </c>
      <c r="D9" s="21">
        <v>950172.53</v>
      </c>
      <c r="E9" s="21">
        <v>995188.5</v>
      </c>
      <c r="F9" s="185">
        <f>(G9-E9)*100/E9</f>
        <v>0.00015072521436893614</v>
      </c>
      <c r="G9" s="21">
        <v>995190</v>
      </c>
      <c r="H9" s="21">
        <v>950170</v>
      </c>
      <c r="I9" s="1"/>
      <c r="J9" s="1"/>
      <c r="K9" s="1"/>
      <c r="L9" s="1"/>
      <c r="M9" s="1"/>
    </row>
    <row r="10" spans="1:13" ht="24.75">
      <c r="A10" s="20" t="s">
        <v>9</v>
      </c>
      <c r="B10" s="21">
        <v>40480.76</v>
      </c>
      <c r="C10" s="21">
        <v>33560.59</v>
      </c>
      <c r="D10" s="21">
        <v>35611.02</v>
      </c>
      <c r="E10" s="21">
        <v>35792</v>
      </c>
      <c r="F10" s="185">
        <f aca="true" t="shared" si="0" ref="F10:F73">(G10-E10)*100/E10</f>
        <v>-0.005587840858292356</v>
      </c>
      <c r="G10" s="21">
        <v>35790</v>
      </c>
      <c r="H10" s="21">
        <v>35610</v>
      </c>
      <c r="I10" s="1"/>
      <c r="J10" s="1"/>
      <c r="K10" s="1"/>
      <c r="L10" s="1"/>
      <c r="M10" s="1"/>
    </row>
    <row r="11" spans="1:13" ht="24.75">
      <c r="A11" s="23" t="s">
        <v>10</v>
      </c>
      <c r="B11" s="24">
        <v>83140</v>
      </c>
      <c r="C11" s="24">
        <v>79375</v>
      </c>
      <c r="D11" s="24">
        <v>77061</v>
      </c>
      <c r="E11" s="24">
        <v>83293</v>
      </c>
      <c r="F11" s="186">
        <f t="shared" si="0"/>
        <v>-0.003601743243729965</v>
      </c>
      <c r="G11" s="24">
        <v>83290</v>
      </c>
      <c r="H11" s="24">
        <v>77060</v>
      </c>
      <c r="I11" s="1"/>
      <c r="J11" s="1"/>
      <c r="K11" s="1"/>
      <c r="L11" s="1"/>
      <c r="M11" s="1"/>
    </row>
    <row r="12" spans="1:13" ht="24.75">
      <c r="A12" s="172" t="s">
        <v>11</v>
      </c>
      <c r="B12" s="173">
        <f>SUM(B9:B11)</f>
        <v>681403.34</v>
      </c>
      <c r="C12" s="173">
        <f>SUM(C9:C11)</f>
        <v>931038.5</v>
      </c>
      <c r="D12" s="174">
        <f>SUM(D9:D11)</f>
        <v>1062844.55</v>
      </c>
      <c r="E12" s="174">
        <f>SUM(E9:E11)</f>
        <v>1114273.5</v>
      </c>
      <c r="F12" s="187">
        <f t="shared" si="0"/>
        <v>-0.0003141060071876429</v>
      </c>
      <c r="G12" s="173">
        <f>SUM(G9:G11)</f>
        <v>1114270</v>
      </c>
      <c r="H12" s="173">
        <f>SUM(H9:H11)</f>
        <v>1062840</v>
      </c>
      <c r="I12" s="1"/>
      <c r="J12" s="1"/>
      <c r="K12" s="1"/>
      <c r="L12" s="1"/>
      <c r="M12" s="1"/>
    </row>
    <row r="13" spans="1:13" ht="24.75">
      <c r="A13" s="17" t="s">
        <v>12</v>
      </c>
      <c r="B13" s="18"/>
      <c r="C13" s="18"/>
      <c r="D13" s="18"/>
      <c r="E13" s="18"/>
      <c r="F13" s="188"/>
      <c r="G13" s="18"/>
      <c r="H13" s="18"/>
      <c r="I13" s="1"/>
      <c r="J13" s="1"/>
      <c r="K13" s="1"/>
      <c r="L13" s="1"/>
      <c r="M13" s="1"/>
    </row>
    <row r="14" spans="1:13" ht="24.75">
      <c r="A14" s="20" t="s">
        <v>66</v>
      </c>
      <c r="B14" s="21">
        <v>0</v>
      </c>
      <c r="C14" s="21">
        <v>0</v>
      </c>
      <c r="D14" s="21">
        <v>4403.8</v>
      </c>
      <c r="E14" s="21">
        <v>4345.6</v>
      </c>
      <c r="F14" s="189">
        <f t="shared" si="0"/>
        <v>0.10125184094255421</v>
      </c>
      <c r="G14" s="21">
        <v>4350</v>
      </c>
      <c r="H14" s="21">
        <v>4400</v>
      </c>
      <c r="I14" s="1"/>
      <c r="J14" s="1"/>
      <c r="K14" s="1"/>
      <c r="L14" s="1"/>
      <c r="M14" s="1"/>
    </row>
    <row r="15" spans="1:13" ht="24.75">
      <c r="A15" s="20" t="s">
        <v>62</v>
      </c>
      <c r="B15" s="21">
        <v>0</v>
      </c>
      <c r="C15" s="21">
        <v>0</v>
      </c>
      <c r="D15" s="21">
        <v>540</v>
      </c>
      <c r="E15" s="21">
        <v>340</v>
      </c>
      <c r="F15" s="189">
        <f t="shared" si="0"/>
        <v>0</v>
      </c>
      <c r="G15" s="21">
        <v>340</v>
      </c>
      <c r="H15" s="21">
        <v>540</v>
      </c>
      <c r="I15" s="1"/>
      <c r="J15" s="1"/>
      <c r="K15" s="1"/>
      <c r="L15" s="1"/>
      <c r="M15" s="1"/>
    </row>
    <row r="16" spans="1:13" ht="24.75">
      <c r="A16" s="20" t="s">
        <v>60</v>
      </c>
      <c r="B16" s="21">
        <v>0</v>
      </c>
      <c r="C16" s="21">
        <v>0</v>
      </c>
      <c r="D16" s="21">
        <v>4778</v>
      </c>
      <c r="E16" s="21">
        <v>5450</v>
      </c>
      <c r="F16" s="189">
        <f t="shared" si="0"/>
        <v>0</v>
      </c>
      <c r="G16" s="21">
        <v>5450</v>
      </c>
      <c r="H16" s="21">
        <v>4780</v>
      </c>
      <c r="I16" s="1"/>
      <c r="J16" s="1"/>
      <c r="K16" s="1"/>
      <c r="L16" s="1"/>
      <c r="M16" s="1"/>
    </row>
    <row r="17" spans="1:13" ht="24.75">
      <c r="A17" s="20" t="s">
        <v>13</v>
      </c>
      <c r="B17" s="21">
        <v>0</v>
      </c>
      <c r="C17" s="21">
        <v>0</v>
      </c>
      <c r="D17" s="21">
        <v>0</v>
      </c>
      <c r="E17" s="21">
        <v>0</v>
      </c>
      <c r="F17" s="189"/>
      <c r="G17" s="21">
        <v>100</v>
      </c>
      <c r="H17" s="21">
        <v>130</v>
      </c>
      <c r="I17" s="1"/>
      <c r="J17" s="1"/>
      <c r="K17" s="1"/>
      <c r="L17" s="1"/>
      <c r="M17" s="1"/>
    </row>
    <row r="18" spans="1:13" ht="24.75">
      <c r="A18" s="20" t="s">
        <v>14</v>
      </c>
      <c r="B18" s="28"/>
      <c r="C18" s="21"/>
      <c r="D18" s="21"/>
      <c r="E18" s="21"/>
      <c r="F18" s="189"/>
      <c r="G18" s="21"/>
      <c r="H18" s="21"/>
      <c r="I18" s="1"/>
      <c r="J18" s="1"/>
      <c r="K18" s="1"/>
      <c r="L18" s="1"/>
      <c r="M18" s="1"/>
    </row>
    <row r="19" spans="1:13" ht="24.75">
      <c r="A19" s="20" t="s">
        <v>15</v>
      </c>
      <c r="B19" s="21">
        <v>250</v>
      </c>
      <c r="C19" s="21">
        <v>180</v>
      </c>
      <c r="D19" s="21">
        <v>260</v>
      </c>
      <c r="E19" s="21">
        <v>540</v>
      </c>
      <c r="F19" s="189">
        <f t="shared" si="0"/>
        <v>0</v>
      </c>
      <c r="G19" s="21">
        <v>540</v>
      </c>
      <c r="H19" s="21">
        <v>260</v>
      </c>
      <c r="I19" s="1"/>
      <c r="J19" s="1"/>
      <c r="K19" s="1"/>
      <c r="L19" s="1"/>
      <c r="M19" s="1"/>
    </row>
    <row r="20" spans="1:13" ht="24.75">
      <c r="A20" s="23" t="s">
        <v>16</v>
      </c>
      <c r="B20" s="24"/>
      <c r="C20" s="24"/>
      <c r="D20" s="24"/>
      <c r="E20" s="24"/>
      <c r="F20" s="190"/>
      <c r="G20" s="24"/>
      <c r="H20" s="24"/>
      <c r="I20" s="1"/>
      <c r="J20" s="1"/>
      <c r="K20" s="1"/>
      <c r="L20" s="1"/>
      <c r="M20" s="1"/>
    </row>
    <row r="21" spans="1:13" ht="24.75">
      <c r="A21" s="175"/>
      <c r="B21" s="176"/>
      <c r="C21" s="176"/>
      <c r="D21" s="176"/>
      <c r="E21" s="176"/>
      <c r="F21" s="191"/>
      <c r="G21" s="177">
        <v>18</v>
      </c>
      <c r="H21" s="176"/>
      <c r="I21" s="1"/>
      <c r="J21" s="1"/>
      <c r="K21" s="1"/>
      <c r="L21" s="1"/>
      <c r="M21" s="1"/>
    </row>
    <row r="22" spans="1:13" ht="24.75">
      <c r="A22" s="100" t="s">
        <v>17</v>
      </c>
      <c r="B22" s="65">
        <v>2230</v>
      </c>
      <c r="C22" s="65">
        <v>1860</v>
      </c>
      <c r="D22" s="65">
        <v>2470</v>
      </c>
      <c r="E22" s="65">
        <v>1970</v>
      </c>
      <c r="F22" s="192">
        <f t="shared" si="0"/>
        <v>0</v>
      </c>
      <c r="G22" s="65">
        <v>1970</v>
      </c>
      <c r="H22" s="65">
        <v>2470</v>
      </c>
      <c r="I22" s="1"/>
      <c r="J22" s="1"/>
      <c r="K22" s="1"/>
      <c r="L22" s="1"/>
      <c r="M22" s="1"/>
    </row>
    <row r="23" spans="1:13" ht="24.75">
      <c r="A23" s="20" t="s">
        <v>18</v>
      </c>
      <c r="B23" s="21">
        <v>8770</v>
      </c>
      <c r="C23" s="21">
        <v>38127</v>
      </c>
      <c r="D23" s="21">
        <v>9990</v>
      </c>
      <c r="E23" s="21">
        <v>7500</v>
      </c>
      <c r="F23" s="185">
        <f t="shared" si="0"/>
        <v>0</v>
      </c>
      <c r="G23" s="21">
        <v>7500</v>
      </c>
      <c r="H23" s="21">
        <v>9990</v>
      </c>
      <c r="I23" s="1"/>
      <c r="J23" s="1"/>
      <c r="K23" s="1"/>
      <c r="L23" s="1"/>
      <c r="M23" s="1"/>
    </row>
    <row r="24" spans="1:13" ht="24.75">
      <c r="A24" s="20" t="s">
        <v>19</v>
      </c>
      <c r="B24" s="21">
        <v>20900</v>
      </c>
      <c r="C24" s="21">
        <v>32490</v>
      </c>
      <c r="D24" s="21">
        <v>20220</v>
      </c>
      <c r="E24" s="21">
        <v>30400</v>
      </c>
      <c r="F24" s="185">
        <f t="shared" si="0"/>
        <v>0</v>
      </c>
      <c r="G24" s="21">
        <v>30400</v>
      </c>
      <c r="H24" s="21">
        <v>20220</v>
      </c>
      <c r="I24" s="1"/>
      <c r="J24" s="1"/>
      <c r="K24" s="1"/>
      <c r="L24" s="1"/>
      <c r="M24" s="1"/>
    </row>
    <row r="25" spans="1:13" ht="24.75">
      <c r="A25" s="20" t="s">
        <v>20</v>
      </c>
      <c r="B25" s="21">
        <v>468995</v>
      </c>
      <c r="C25" s="21">
        <v>65186</v>
      </c>
      <c r="D25" s="21">
        <v>16314</v>
      </c>
      <c r="E25" s="21">
        <v>186962</v>
      </c>
      <c r="F25" s="185">
        <f t="shared" si="0"/>
        <v>-0.0010697360961050909</v>
      </c>
      <c r="G25" s="21">
        <v>186960</v>
      </c>
      <c r="H25" s="21">
        <v>16310</v>
      </c>
      <c r="I25" s="1"/>
      <c r="J25" s="1"/>
      <c r="K25" s="1"/>
      <c r="L25" s="1"/>
      <c r="M25" s="1"/>
    </row>
    <row r="26" spans="1:13" ht="24.75">
      <c r="A26" s="20" t="s">
        <v>21</v>
      </c>
      <c r="B26" s="21">
        <v>0</v>
      </c>
      <c r="C26" s="21">
        <v>0</v>
      </c>
      <c r="D26" s="21">
        <v>0</v>
      </c>
      <c r="E26" s="21">
        <v>0</v>
      </c>
      <c r="F26" s="185"/>
      <c r="G26" s="21">
        <v>100</v>
      </c>
      <c r="H26" s="21">
        <v>180</v>
      </c>
      <c r="I26" s="3"/>
      <c r="J26" s="3"/>
      <c r="K26" s="3"/>
      <c r="L26" s="3"/>
      <c r="M26" s="3"/>
    </row>
    <row r="27" spans="1:13" ht="24.75">
      <c r="A27" s="20" t="s">
        <v>25</v>
      </c>
      <c r="B27" s="21">
        <v>47500</v>
      </c>
      <c r="C27" s="21">
        <v>38000</v>
      </c>
      <c r="D27" s="21">
        <v>41750</v>
      </c>
      <c r="E27" s="21">
        <v>57750</v>
      </c>
      <c r="F27" s="185">
        <f t="shared" si="0"/>
        <v>0</v>
      </c>
      <c r="G27" s="21">
        <v>57750</v>
      </c>
      <c r="H27" s="21">
        <v>41750</v>
      </c>
      <c r="I27" s="3"/>
      <c r="J27" s="3"/>
      <c r="K27" s="3"/>
      <c r="L27" s="3"/>
      <c r="M27" s="3"/>
    </row>
    <row r="28" spans="1:13" ht="24.75">
      <c r="A28" s="20" t="s">
        <v>26</v>
      </c>
      <c r="B28" s="21"/>
      <c r="C28" s="21"/>
      <c r="D28" s="21"/>
      <c r="E28" s="21"/>
      <c r="F28" s="185"/>
      <c r="G28" s="21"/>
      <c r="H28" s="21"/>
      <c r="I28" s="3"/>
      <c r="J28" s="3"/>
      <c r="K28" s="3"/>
      <c r="L28" s="3"/>
      <c r="M28" s="3"/>
    </row>
    <row r="29" spans="1:13" ht="24.75">
      <c r="A29" s="20" t="s">
        <v>22</v>
      </c>
      <c r="B29" s="21">
        <v>900</v>
      </c>
      <c r="C29" s="21">
        <v>600</v>
      </c>
      <c r="D29" s="21">
        <v>0</v>
      </c>
      <c r="E29" s="21">
        <v>300</v>
      </c>
      <c r="F29" s="185">
        <f t="shared" si="0"/>
        <v>0</v>
      </c>
      <c r="G29" s="21">
        <v>300</v>
      </c>
      <c r="H29" s="21">
        <v>100</v>
      </c>
      <c r="I29" s="3"/>
      <c r="J29" s="3"/>
      <c r="K29" s="3"/>
      <c r="L29" s="3"/>
      <c r="M29" s="3"/>
    </row>
    <row r="30" spans="1:13" ht="24.75">
      <c r="A30" s="20" t="s">
        <v>23</v>
      </c>
      <c r="B30" s="21"/>
      <c r="C30" s="21"/>
      <c r="D30" s="21"/>
      <c r="E30" s="21"/>
      <c r="F30" s="185"/>
      <c r="G30" s="21"/>
      <c r="H30" s="21"/>
      <c r="I30" s="3"/>
      <c r="J30" s="3"/>
      <c r="K30" s="3"/>
      <c r="L30" s="3"/>
      <c r="M30" s="3"/>
    </row>
    <row r="31" spans="1:13" ht="24.75">
      <c r="A31" s="20" t="s">
        <v>24</v>
      </c>
      <c r="B31" s="21">
        <v>4000</v>
      </c>
      <c r="C31" s="21">
        <v>4000</v>
      </c>
      <c r="D31" s="21">
        <v>0</v>
      </c>
      <c r="E31" s="21">
        <v>2000</v>
      </c>
      <c r="F31" s="185">
        <f t="shared" si="0"/>
        <v>0</v>
      </c>
      <c r="G31" s="21">
        <v>2000</v>
      </c>
      <c r="H31" s="21">
        <v>1000</v>
      </c>
      <c r="I31" s="3"/>
      <c r="J31" s="3"/>
      <c r="K31" s="3"/>
      <c r="L31" s="3"/>
      <c r="M31" s="3"/>
    </row>
    <row r="32" spans="1:13" ht="24.75">
      <c r="A32" s="20" t="s">
        <v>59</v>
      </c>
      <c r="B32" s="21">
        <v>0</v>
      </c>
      <c r="C32" s="21">
        <v>0</v>
      </c>
      <c r="D32" s="21">
        <v>840</v>
      </c>
      <c r="E32" s="21">
        <v>1230</v>
      </c>
      <c r="F32" s="185">
        <f t="shared" si="0"/>
        <v>0</v>
      </c>
      <c r="G32" s="21">
        <v>1230</v>
      </c>
      <c r="H32" s="21">
        <v>840</v>
      </c>
      <c r="I32" s="3"/>
      <c r="J32" s="3"/>
      <c r="K32" s="3"/>
      <c r="L32" s="3"/>
      <c r="M32" s="3"/>
    </row>
    <row r="33" spans="1:13" ht="24.75">
      <c r="A33" s="23" t="s">
        <v>27</v>
      </c>
      <c r="B33" s="24">
        <v>7983.6</v>
      </c>
      <c r="C33" s="24">
        <v>5891.6</v>
      </c>
      <c r="D33" s="24">
        <v>1900</v>
      </c>
      <c r="E33" s="161">
        <v>900</v>
      </c>
      <c r="F33" s="186">
        <f t="shared" si="0"/>
        <v>0</v>
      </c>
      <c r="G33" s="161">
        <v>900</v>
      </c>
      <c r="H33" s="161">
        <v>1900</v>
      </c>
      <c r="I33" s="3"/>
      <c r="J33" s="3"/>
      <c r="K33" s="3"/>
      <c r="L33" s="3"/>
      <c r="M33" s="3"/>
    </row>
    <row r="34" spans="1:8" ht="24.75">
      <c r="A34" s="5" t="s">
        <v>28</v>
      </c>
      <c r="B34" s="6">
        <f>SUM(B16:B33)</f>
        <v>561528.6</v>
      </c>
      <c r="C34" s="6">
        <f>SUM(C16:C33)</f>
        <v>186334.6</v>
      </c>
      <c r="D34" s="35">
        <f>SUM(D14:D33)</f>
        <v>103465.8</v>
      </c>
      <c r="E34" s="35">
        <f>SUM(E14:E33)</f>
        <v>299687.6</v>
      </c>
      <c r="F34" s="193">
        <f t="shared" si="0"/>
        <v>0.067536995191</v>
      </c>
      <c r="G34" s="6">
        <f>G14+G15+G16+G17+G19+G22+G23+G24+G25+G26+G27+G29+G31+G32+G33</f>
        <v>299890</v>
      </c>
      <c r="H34" s="6">
        <f>SUM(H14:H33)</f>
        <v>104870</v>
      </c>
    </row>
    <row r="35" spans="1:8" ht="24.75">
      <c r="A35" s="152"/>
      <c r="B35" s="153"/>
      <c r="C35" s="153"/>
      <c r="D35" s="154"/>
      <c r="E35" s="178"/>
      <c r="F35" s="191"/>
      <c r="G35" s="179">
        <v>19</v>
      </c>
      <c r="H35" s="180"/>
    </row>
    <row r="36" spans="1:8" ht="24.75">
      <c r="A36" s="151" t="s">
        <v>29</v>
      </c>
      <c r="B36" s="26"/>
      <c r="C36" s="26"/>
      <c r="D36" s="26"/>
      <c r="E36" s="26"/>
      <c r="F36" s="192"/>
      <c r="G36" s="26"/>
      <c r="H36" s="26"/>
    </row>
    <row r="37" spans="1:8" ht="24.75">
      <c r="A37" s="20" t="s">
        <v>30</v>
      </c>
      <c r="B37" s="21">
        <v>0</v>
      </c>
      <c r="C37" s="21">
        <v>0</v>
      </c>
      <c r="D37" s="21">
        <v>0</v>
      </c>
      <c r="E37" s="21">
        <v>1000</v>
      </c>
      <c r="F37" s="185">
        <f t="shared" si="0"/>
        <v>0</v>
      </c>
      <c r="G37" s="21">
        <v>1000</v>
      </c>
      <c r="H37" s="21">
        <v>100</v>
      </c>
    </row>
    <row r="38" spans="1:8" ht="24.75">
      <c r="A38" s="23" t="s">
        <v>31</v>
      </c>
      <c r="B38" s="24">
        <v>334786.35</v>
      </c>
      <c r="C38" s="24">
        <v>298072.75</v>
      </c>
      <c r="D38" s="24">
        <v>293383.24</v>
      </c>
      <c r="E38" s="24">
        <v>242466.59</v>
      </c>
      <c r="F38" s="186">
        <f t="shared" si="0"/>
        <v>0.0014063793283864356</v>
      </c>
      <c r="G38" s="24">
        <v>242470</v>
      </c>
      <c r="H38" s="24">
        <v>293380</v>
      </c>
    </row>
    <row r="39" spans="1:8" ht="24.75">
      <c r="A39" s="5" t="s">
        <v>32</v>
      </c>
      <c r="B39" s="6">
        <f>SUM(B37:B38)</f>
        <v>334786.35</v>
      </c>
      <c r="C39" s="6">
        <f>SUM(C37:C38)</f>
        <v>298072.75</v>
      </c>
      <c r="D39" s="6">
        <f>SUM(D37:D38)</f>
        <v>293383.24</v>
      </c>
      <c r="E39" s="6">
        <f>SUM(E37:E38)</f>
        <v>243466.59</v>
      </c>
      <c r="F39" s="194">
        <f t="shared" si="0"/>
        <v>0.0014006028506841504</v>
      </c>
      <c r="G39" s="6">
        <f>SUM(G37:G38)</f>
        <v>243470</v>
      </c>
      <c r="H39" s="6">
        <f>SUM(H37:H38)</f>
        <v>293480</v>
      </c>
    </row>
    <row r="40" spans="1:8" ht="24.75">
      <c r="A40" s="17" t="s">
        <v>33</v>
      </c>
      <c r="B40" s="26"/>
      <c r="C40" s="26"/>
      <c r="D40" s="26"/>
      <c r="E40" s="26"/>
      <c r="F40" s="192"/>
      <c r="G40" s="26"/>
      <c r="H40" s="26"/>
    </row>
    <row r="41" spans="1:8" ht="24.75">
      <c r="A41" s="20" t="s">
        <v>34</v>
      </c>
      <c r="B41" s="21">
        <v>174000</v>
      </c>
      <c r="C41" s="21">
        <v>109700</v>
      </c>
      <c r="D41" s="21">
        <v>277000</v>
      </c>
      <c r="E41" s="21">
        <v>21500</v>
      </c>
      <c r="F41" s="185">
        <f t="shared" si="0"/>
        <v>0</v>
      </c>
      <c r="G41" s="21">
        <v>21500</v>
      </c>
      <c r="H41" s="21">
        <v>100000</v>
      </c>
    </row>
    <row r="42" spans="1:8" ht="24.75">
      <c r="A42" s="20" t="s">
        <v>35</v>
      </c>
      <c r="B42" s="21">
        <v>288</v>
      </c>
      <c r="C42" s="21">
        <v>21</v>
      </c>
      <c r="D42" s="21">
        <v>19</v>
      </c>
      <c r="E42" s="21">
        <v>154</v>
      </c>
      <c r="F42" s="185">
        <f t="shared" si="0"/>
        <v>-2.5974025974025974</v>
      </c>
      <c r="G42" s="21">
        <v>150</v>
      </c>
      <c r="H42" s="21">
        <v>20</v>
      </c>
    </row>
    <row r="43" spans="1:8" ht="24.75">
      <c r="A43" s="20" t="s">
        <v>36</v>
      </c>
      <c r="B43" s="28"/>
      <c r="C43" s="28"/>
      <c r="D43" s="21"/>
      <c r="E43" s="21"/>
      <c r="F43" s="185"/>
      <c r="G43" s="28"/>
      <c r="H43" s="28"/>
    </row>
    <row r="44" spans="1:8" ht="24.75">
      <c r="A44" s="20" t="s">
        <v>37</v>
      </c>
      <c r="B44" s="21">
        <v>61900</v>
      </c>
      <c r="C44" s="21">
        <v>47300</v>
      </c>
      <c r="D44" s="21">
        <v>77950</v>
      </c>
      <c r="E44" s="21">
        <v>109200</v>
      </c>
      <c r="F44" s="185">
        <f t="shared" si="0"/>
        <v>0</v>
      </c>
      <c r="G44" s="21">
        <v>109200</v>
      </c>
      <c r="H44" s="21">
        <v>77950</v>
      </c>
    </row>
    <row r="45" spans="1:8" ht="24.75">
      <c r="A45" s="20" t="s">
        <v>38</v>
      </c>
      <c r="B45" s="21">
        <v>20547</v>
      </c>
      <c r="C45" s="21">
        <v>10349</v>
      </c>
      <c r="D45" s="21">
        <v>17276</v>
      </c>
      <c r="E45" s="21">
        <v>2337</v>
      </c>
      <c r="F45" s="185">
        <f t="shared" si="0"/>
        <v>0.12836970474967907</v>
      </c>
      <c r="G45" s="21">
        <v>2340</v>
      </c>
      <c r="H45" s="21">
        <v>17280</v>
      </c>
    </row>
    <row r="46" spans="1:8" ht="24.75">
      <c r="A46" s="20"/>
      <c r="B46" s="21"/>
      <c r="C46" s="21"/>
      <c r="D46" s="21"/>
      <c r="E46" s="21"/>
      <c r="F46" s="185"/>
      <c r="G46" s="21"/>
      <c r="H46" s="21"/>
    </row>
    <row r="47" spans="1:8" ht="24.75">
      <c r="A47" s="23"/>
      <c r="B47" s="24"/>
      <c r="C47" s="24"/>
      <c r="D47" s="24"/>
      <c r="E47" s="24"/>
      <c r="F47" s="186"/>
      <c r="G47" s="24"/>
      <c r="H47" s="24"/>
    </row>
    <row r="48" spans="1:8" ht="24.75">
      <c r="A48" s="5" t="s">
        <v>39</v>
      </c>
      <c r="B48" s="6">
        <f>SUM(B41:B47)</f>
        <v>256735</v>
      </c>
      <c r="C48" s="6">
        <f>SUM(C41:C47)</f>
        <v>167370</v>
      </c>
      <c r="D48" s="35">
        <f>SUM(D41:D47)</f>
        <v>372245</v>
      </c>
      <c r="E48" s="35">
        <f>SUM(E41:E47)</f>
        <v>133191</v>
      </c>
      <c r="F48" s="194">
        <f t="shared" si="0"/>
        <v>-0.0007508014805805197</v>
      </c>
      <c r="G48" s="6">
        <f>SUM(G41:G45)</f>
        <v>133190</v>
      </c>
      <c r="H48" s="6">
        <f>SUM(H41:H45)</f>
        <v>195250</v>
      </c>
    </row>
    <row r="49" spans="1:8" ht="24.75">
      <c r="A49" s="152"/>
      <c r="B49" s="153"/>
      <c r="C49" s="153"/>
      <c r="D49" s="154"/>
      <c r="E49" s="178"/>
      <c r="F49" s="191"/>
      <c r="G49" s="179">
        <v>20</v>
      </c>
      <c r="H49" s="153"/>
    </row>
    <row r="50" spans="1:8" ht="24.75">
      <c r="A50" s="155" t="s">
        <v>63</v>
      </c>
      <c r="B50" s="156"/>
      <c r="C50" s="156"/>
      <c r="D50" s="156"/>
      <c r="E50" s="156"/>
      <c r="F50" s="192"/>
      <c r="G50" s="156"/>
      <c r="H50" s="156"/>
    </row>
    <row r="51" spans="1:8" ht="24.75">
      <c r="A51" s="23" t="s">
        <v>64</v>
      </c>
      <c r="B51" s="30"/>
      <c r="C51" s="30"/>
      <c r="D51" s="30"/>
      <c r="E51" s="30"/>
      <c r="F51" s="186"/>
      <c r="G51" s="25">
        <v>130</v>
      </c>
      <c r="H51" s="25">
        <v>500</v>
      </c>
    </row>
    <row r="52" spans="1:8" ht="24.75">
      <c r="A52" s="5" t="s">
        <v>65</v>
      </c>
      <c r="B52" s="6">
        <v>0</v>
      </c>
      <c r="C52" s="6">
        <v>0</v>
      </c>
      <c r="D52" s="6">
        <v>0</v>
      </c>
      <c r="E52" s="6">
        <v>0</v>
      </c>
      <c r="F52" s="194">
        <v>0</v>
      </c>
      <c r="G52" s="6">
        <f>G51</f>
        <v>130</v>
      </c>
      <c r="H52" s="6">
        <f>H51</f>
        <v>500</v>
      </c>
    </row>
    <row r="53" spans="1:8" ht="24.75">
      <c r="A53" s="17" t="s">
        <v>40</v>
      </c>
      <c r="B53" s="18"/>
      <c r="C53" s="18"/>
      <c r="D53" s="18"/>
      <c r="E53" s="18"/>
      <c r="F53" s="192"/>
      <c r="G53" s="18"/>
      <c r="H53" s="18"/>
    </row>
    <row r="54" spans="1:8" ht="24.75">
      <c r="A54" s="20" t="s">
        <v>69</v>
      </c>
      <c r="B54" s="21">
        <v>0</v>
      </c>
      <c r="C54" s="21">
        <v>0</v>
      </c>
      <c r="D54" s="21">
        <v>429857.17</v>
      </c>
      <c r="E54" s="21">
        <v>426423.31</v>
      </c>
      <c r="F54" s="185">
        <f t="shared" si="0"/>
        <v>-0.0007762239826893309</v>
      </c>
      <c r="G54" s="21">
        <v>426420</v>
      </c>
      <c r="H54" s="21">
        <v>429860</v>
      </c>
    </row>
    <row r="55" spans="1:8" ht="24.75">
      <c r="A55" s="20" t="s">
        <v>41</v>
      </c>
      <c r="B55" s="21">
        <v>9504138.51</v>
      </c>
      <c r="C55" s="21">
        <v>7875088.97</v>
      </c>
      <c r="D55" s="21">
        <v>8120961.92</v>
      </c>
      <c r="E55" s="21">
        <v>8267139.96</v>
      </c>
      <c r="F55" s="185">
        <f t="shared" si="0"/>
        <v>4.838432666047776E-07</v>
      </c>
      <c r="G55" s="21">
        <v>8267140</v>
      </c>
      <c r="H55" s="21">
        <v>8120960</v>
      </c>
    </row>
    <row r="56" spans="1:8" ht="24.75">
      <c r="A56" s="20" t="s">
        <v>42</v>
      </c>
      <c r="B56" s="21">
        <v>3522636.07</v>
      </c>
      <c r="C56" s="21">
        <v>3759544.36</v>
      </c>
      <c r="D56" s="21">
        <v>3755002.52</v>
      </c>
      <c r="E56" s="21">
        <v>3705446.73</v>
      </c>
      <c r="F56" s="185">
        <f t="shared" si="0"/>
        <v>8.824846876205467E-05</v>
      </c>
      <c r="G56" s="21">
        <v>3705450</v>
      </c>
      <c r="H56" s="21">
        <v>3775000</v>
      </c>
    </row>
    <row r="57" spans="1:8" ht="24.75">
      <c r="A57" s="20" t="s">
        <v>43</v>
      </c>
      <c r="B57" s="21">
        <v>90555.4</v>
      </c>
      <c r="C57" s="21">
        <v>102357.79</v>
      </c>
      <c r="D57" s="21">
        <v>105715.1</v>
      </c>
      <c r="E57" s="21">
        <v>88472.84</v>
      </c>
      <c r="F57" s="185">
        <f t="shared" si="0"/>
        <v>-0.0032100246810168043</v>
      </c>
      <c r="G57" s="21">
        <v>88470</v>
      </c>
      <c r="H57" s="21">
        <v>105720</v>
      </c>
    </row>
    <row r="58" spans="1:8" ht="24.75">
      <c r="A58" s="20" t="s">
        <v>44</v>
      </c>
      <c r="B58" s="21">
        <v>1491321.81</v>
      </c>
      <c r="C58" s="21">
        <v>1637633.34</v>
      </c>
      <c r="D58" s="21">
        <v>1843059.01</v>
      </c>
      <c r="E58" s="21">
        <v>1794652.07</v>
      </c>
      <c r="F58" s="185">
        <f t="shared" si="0"/>
        <v>-0.00011534269147028552</v>
      </c>
      <c r="G58" s="21">
        <v>1794650</v>
      </c>
      <c r="H58" s="21">
        <v>1843060</v>
      </c>
    </row>
    <row r="59" spans="1:8" ht="24.75">
      <c r="A59" s="20" t="s">
        <v>45</v>
      </c>
      <c r="B59" s="21">
        <v>3260414.54</v>
      </c>
      <c r="C59" s="21">
        <v>2227505.91</v>
      </c>
      <c r="D59" s="21">
        <v>3174985.96</v>
      </c>
      <c r="E59" s="21">
        <v>3860311.39</v>
      </c>
      <c r="F59" s="185">
        <f t="shared" si="0"/>
        <v>-3.6007457940598544E-05</v>
      </c>
      <c r="G59" s="21">
        <v>3860310</v>
      </c>
      <c r="H59" s="21">
        <v>3174990</v>
      </c>
    </row>
    <row r="60" spans="1:8" ht="24.75">
      <c r="A60" s="20" t="s">
        <v>46</v>
      </c>
      <c r="B60" s="21">
        <v>0</v>
      </c>
      <c r="C60" s="21">
        <v>4010</v>
      </c>
      <c r="D60" s="21">
        <v>27600</v>
      </c>
      <c r="E60" s="21">
        <v>51167.69</v>
      </c>
      <c r="F60" s="185">
        <f t="shared" si="0"/>
        <v>0.0045145676890976935</v>
      </c>
      <c r="G60" s="21">
        <v>51170</v>
      </c>
      <c r="H60" s="21">
        <v>27600</v>
      </c>
    </row>
    <row r="61" spans="1:8" ht="24.75">
      <c r="A61" s="20" t="s">
        <v>47</v>
      </c>
      <c r="B61" s="21">
        <v>550300.01</v>
      </c>
      <c r="C61" s="21">
        <v>626544.27</v>
      </c>
      <c r="D61" s="21">
        <v>815013.05</v>
      </c>
      <c r="E61" s="21">
        <v>680617.24</v>
      </c>
      <c r="F61" s="185">
        <f t="shared" si="0"/>
        <v>0.0004055142652585928</v>
      </c>
      <c r="G61" s="21">
        <v>680620</v>
      </c>
      <c r="H61" s="21">
        <v>815010</v>
      </c>
    </row>
    <row r="62" spans="1:8" ht="24.75">
      <c r="A62" s="23" t="s">
        <v>48</v>
      </c>
      <c r="B62" s="24">
        <v>134460.36</v>
      </c>
      <c r="C62" s="24">
        <v>128651.24</v>
      </c>
      <c r="D62" s="24">
        <v>91375.06</v>
      </c>
      <c r="E62" s="24">
        <v>61291.95</v>
      </c>
      <c r="F62" s="195">
        <f t="shared" si="0"/>
        <v>-0.003181494470313132</v>
      </c>
      <c r="G62" s="24">
        <v>61290</v>
      </c>
      <c r="H62" s="24">
        <v>91380</v>
      </c>
    </row>
    <row r="63" spans="1:8" ht="24.75">
      <c r="A63" s="148"/>
      <c r="B63" s="149"/>
      <c r="C63" s="149"/>
      <c r="D63" s="149"/>
      <c r="E63" s="176"/>
      <c r="F63" s="191"/>
      <c r="G63" s="177">
        <v>21</v>
      </c>
      <c r="H63" s="149"/>
    </row>
    <row r="64" spans="1:8" ht="24.75">
      <c r="A64" s="100" t="s">
        <v>49</v>
      </c>
      <c r="B64" s="65">
        <v>1248.66</v>
      </c>
      <c r="C64" s="65">
        <v>8573.66</v>
      </c>
      <c r="D64" s="65">
        <v>10459</v>
      </c>
      <c r="E64" s="65">
        <v>13690.34</v>
      </c>
      <c r="F64" s="192">
        <f t="shared" si="0"/>
        <v>-0.0024835029663262237</v>
      </c>
      <c r="G64" s="65">
        <v>13690</v>
      </c>
      <c r="H64" s="65">
        <v>10460</v>
      </c>
    </row>
    <row r="65" spans="1:8" ht="24.75">
      <c r="A65" s="20" t="s">
        <v>70</v>
      </c>
      <c r="B65" s="21">
        <v>1970944</v>
      </c>
      <c r="C65" s="21">
        <v>1467419</v>
      </c>
      <c r="D65" s="21">
        <v>2464496</v>
      </c>
      <c r="E65" s="21">
        <v>1704923</v>
      </c>
      <c r="F65" s="185">
        <f t="shared" si="0"/>
        <v>-0.0001759610258058575</v>
      </c>
      <c r="G65" s="21">
        <v>1704920</v>
      </c>
      <c r="H65" s="21">
        <v>2464500</v>
      </c>
    </row>
    <row r="66" spans="1:8" ht="24.75">
      <c r="A66" s="20" t="s">
        <v>50</v>
      </c>
      <c r="B66" s="21"/>
      <c r="C66" s="28"/>
      <c r="D66" s="21"/>
      <c r="E66" s="21"/>
      <c r="F66" s="185"/>
      <c r="G66" s="28"/>
      <c r="H66" s="28"/>
    </row>
    <row r="67" spans="1:8" ht="24.75">
      <c r="A67" s="23" t="s">
        <v>51</v>
      </c>
      <c r="B67" s="24">
        <v>0</v>
      </c>
      <c r="C67" s="24">
        <v>0</v>
      </c>
      <c r="D67" s="24"/>
      <c r="E67" s="24"/>
      <c r="F67" s="186"/>
      <c r="G67" s="24">
        <v>0</v>
      </c>
      <c r="H67" s="24">
        <v>0</v>
      </c>
    </row>
    <row r="68" spans="1:9" ht="25.5" thickBot="1">
      <c r="A68" s="5" t="s">
        <v>52</v>
      </c>
      <c r="B68" s="11">
        <f>SUM(B54:B67)</f>
        <v>20526019.360000003</v>
      </c>
      <c r="C68" s="11">
        <f>SUM(C54:C67)</f>
        <v>17837328.54</v>
      </c>
      <c r="D68" s="12">
        <f>SUM(D54:D67)</f>
        <v>20838524.79</v>
      </c>
      <c r="E68" s="12">
        <f>SUM(E54:E67)</f>
        <v>20654136.52</v>
      </c>
      <c r="F68" s="196">
        <f t="shared" si="0"/>
        <v>-3.156752640440553E-05</v>
      </c>
      <c r="G68" s="11">
        <f>G54+G55+G56+G57+G58+G59+G60+G61+G62+G64+G65</f>
        <v>20654130</v>
      </c>
      <c r="H68" s="11">
        <f>SUM(H54:H67)</f>
        <v>20858540</v>
      </c>
      <c r="I68" s="37">
        <f>G12+G34+G39+G48+G52+G68</f>
        <v>22445080</v>
      </c>
    </row>
    <row r="69" spans="1:9" ht="25.5" thickTop="1">
      <c r="A69" s="4" t="s">
        <v>53</v>
      </c>
      <c r="B69" s="9"/>
      <c r="C69" s="9"/>
      <c r="D69" s="14"/>
      <c r="E69" s="14"/>
      <c r="F69" s="197"/>
      <c r="G69" s="9"/>
      <c r="H69" s="9"/>
      <c r="I69" s="37">
        <v>22055600</v>
      </c>
    </row>
    <row r="70" spans="1:9" ht="24.75">
      <c r="A70" s="32" t="s">
        <v>54</v>
      </c>
      <c r="B70" s="19">
        <v>9090493</v>
      </c>
      <c r="C70" s="19">
        <v>9554987</v>
      </c>
      <c r="D70" s="19">
        <v>8998535</v>
      </c>
      <c r="E70" s="19">
        <v>7736710</v>
      </c>
      <c r="F70" s="192">
        <f t="shared" si="0"/>
        <v>-26.539963369442567</v>
      </c>
      <c r="G70" s="43">
        <v>5683390</v>
      </c>
      <c r="H70" s="43">
        <v>5483410</v>
      </c>
      <c r="I70" s="37">
        <f>SUM(I68:I69)</f>
        <v>44500680</v>
      </c>
    </row>
    <row r="71" spans="1:8" ht="24.75">
      <c r="A71" s="20" t="s">
        <v>55</v>
      </c>
      <c r="B71" s="28"/>
      <c r="C71" s="28"/>
      <c r="D71" s="21"/>
      <c r="E71" s="21"/>
      <c r="F71" s="185"/>
      <c r="G71" s="44"/>
      <c r="H71" s="44"/>
    </row>
    <row r="72" spans="1:8" ht="24.75">
      <c r="A72" s="20" t="s">
        <v>87</v>
      </c>
      <c r="B72" s="28"/>
      <c r="C72" s="28"/>
      <c r="D72" s="21"/>
      <c r="E72" s="170">
        <v>567677</v>
      </c>
      <c r="F72" s="185">
        <f t="shared" si="0"/>
        <v>-12.406174638042408</v>
      </c>
      <c r="G72" s="143">
        <v>497250</v>
      </c>
      <c r="H72" s="45">
        <v>495170</v>
      </c>
    </row>
    <row r="73" spans="1:8" ht="24.75">
      <c r="A73" s="20" t="s">
        <v>74</v>
      </c>
      <c r="B73" s="28"/>
      <c r="C73" s="28"/>
      <c r="D73" s="21"/>
      <c r="E73" s="170">
        <v>1303800</v>
      </c>
      <c r="F73" s="185">
        <f t="shared" si="0"/>
        <v>-15.071329958582604</v>
      </c>
      <c r="G73" s="143">
        <v>1107300</v>
      </c>
      <c r="H73" s="45">
        <v>1157700</v>
      </c>
    </row>
    <row r="74" spans="1:8" ht="24.75">
      <c r="A74" s="20" t="s">
        <v>75</v>
      </c>
      <c r="B74" s="28"/>
      <c r="C74" s="28"/>
      <c r="D74" s="21"/>
      <c r="E74" s="170">
        <v>22000</v>
      </c>
      <c r="F74" s="185">
        <f aca="true" t="shared" si="1" ref="F74:F84">(G74-E74)*100/E74</f>
        <v>-9.090909090909092</v>
      </c>
      <c r="G74" s="143">
        <v>20000</v>
      </c>
      <c r="H74" s="45">
        <v>22000</v>
      </c>
    </row>
    <row r="75" spans="1:9" ht="24.75">
      <c r="A75" s="20" t="s">
        <v>76</v>
      </c>
      <c r="B75" s="28"/>
      <c r="C75" s="28"/>
      <c r="D75" s="21"/>
      <c r="E75" s="170">
        <v>270000</v>
      </c>
      <c r="F75" s="185">
        <f t="shared" si="1"/>
        <v>11.11111111111111</v>
      </c>
      <c r="G75" s="143">
        <v>300000</v>
      </c>
      <c r="H75" s="45">
        <v>288000</v>
      </c>
      <c r="I75" s="37" t="e">
        <f>G12+G34+G39+G48+G52+G68+#REF!</f>
        <v>#REF!</v>
      </c>
    </row>
    <row r="76" spans="1:9" ht="24.75">
      <c r="A76" s="159" t="s">
        <v>77</v>
      </c>
      <c r="B76" s="160"/>
      <c r="C76" s="160"/>
      <c r="D76" s="161"/>
      <c r="E76" s="183">
        <v>2324064</v>
      </c>
      <c r="F76" s="195">
        <f t="shared" si="1"/>
        <v>-3.308170515097691</v>
      </c>
      <c r="G76" s="184">
        <v>2247180</v>
      </c>
      <c r="H76" s="163"/>
      <c r="I76" s="37">
        <f>H76+H78+H79+H80+H81</f>
        <v>16406140</v>
      </c>
    </row>
    <row r="77" spans="1:9" ht="24.75">
      <c r="A77" s="148"/>
      <c r="B77" s="166"/>
      <c r="C77" s="166"/>
      <c r="D77" s="149"/>
      <c r="E77" s="182"/>
      <c r="F77" s="191"/>
      <c r="G77" s="177">
        <v>22</v>
      </c>
      <c r="H77" s="164"/>
      <c r="I77" s="37"/>
    </row>
    <row r="78" spans="1:9" ht="24.75">
      <c r="A78" s="64" t="s">
        <v>78</v>
      </c>
      <c r="B78" s="26"/>
      <c r="C78" s="26"/>
      <c r="D78" s="65"/>
      <c r="E78" s="171">
        <v>9997000</v>
      </c>
      <c r="F78" s="192">
        <f t="shared" si="1"/>
        <v>11.669500850255076</v>
      </c>
      <c r="G78" s="165">
        <v>11163600</v>
      </c>
      <c r="H78" s="72"/>
      <c r="I78" s="37" t="e">
        <f>SUM(I75:I76)</f>
        <v>#REF!</v>
      </c>
    </row>
    <row r="79" spans="1:8" ht="22.5">
      <c r="A79" s="33" t="s">
        <v>79</v>
      </c>
      <c r="B79" s="28"/>
      <c r="C79" s="28"/>
      <c r="D79" s="21"/>
      <c r="E79" s="170">
        <v>2384000</v>
      </c>
      <c r="F79" s="185">
        <f t="shared" si="1"/>
        <v>37.718120805369125</v>
      </c>
      <c r="G79" s="143">
        <v>3283200</v>
      </c>
      <c r="H79" s="78">
        <f>2286940+30000</f>
        <v>2316940</v>
      </c>
    </row>
    <row r="80" spans="1:8" ht="24.75">
      <c r="A80" s="20" t="s">
        <v>81</v>
      </c>
      <c r="B80" s="28"/>
      <c r="C80" s="28"/>
      <c r="D80" s="21"/>
      <c r="E80" s="170">
        <v>58500</v>
      </c>
      <c r="F80" s="185">
        <f t="shared" si="1"/>
        <v>-0.8547008547008547</v>
      </c>
      <c r="G80" s="143">
        <v>58000</v>
      </c>
      <c r="H80" s="79">
        <v>10998000</v>
      </c>
    </row>
    <row r="81" spans="1:8" ht="23.25">
      <c r="A81" s="63" t="s">
        <v>80</v>
      </c>
      <c r="B81" s="28"/>
      <c r="C81" s="28"/>
      <c r="D81" s="21"/>
      <c r="E81" s="170">
        <v>50000</v>
      </c>
      <c r="F81" s="185">
        <f t="shared" si="1"/>
        <v>0</v>
      </c>
      <c r="G81" s="143">
        <v>50000</v>
      </c>
      <c r="H81" s="78">
        <v>3091200</v>
      </c>
    </row>
    <row r="82" spans="1:8" ht="24.75">
      <c r="A82" s="88"/>
      <c r="B82" s="34"/>
      <c r="C82" s="34"/>
      <c r="D82" s="24"/>
      <c r="E82" s="161"/>
      <c r="F82" s="186"/>
      <c r="G82" s="181"/>
      <c r="H82" s="45">
        <v>58500</v>
      </c>
    </row>
    <row r="83" spans="1:8" ht="25.5" thickBot="1">
      <c r="A83" s="5" t="s">
        <v>56</v>
      </c>
      <c r="B83" s="11">
        <f>SUM(B70:B71)</f>
        <v>9090493</v>
      </c>
      <c r="C83" s="11">
        <f>SUM(C70:C71)</f>
        <v>9554987</v>
      </c>
      <c r="D83" s="12">
        <f>SUM(D70:D71)</f>
        <v>8998535</v>
      </c>
      <c r="E83" s="12">
        <f>SUM(E70:E71)</f>
        <v>7736710</v>
      </c>
      <c r="F83" s="196">
        <f t="shared" si="1"/>
        <v>215.50775458819058</v>
      </c>
      <c r="G83" s="11">
        <f>G70+G72+G73+G74+G75+G76+G78+G79+G80+G81</f>
        <v>24409920</v>
      </c>
      <c r="H83" s="45">
        <v>50000</v>
      </c>
    </row>
    <row r="84" spans="1:8" ht="26.25" thickBot="1" thickTop="1">
      <c r="A84" s="5" t="s">
        <v>57</v>
      </c>
      <c r="B84" s="15">
        <f>B12+B34+B39+B48+B68+B83</f>
        <v>31450965.650000002</v>
      </c>
      <c r="C84" s="15">
        <f>C12+C34+C39+C48+C68+C83</f>
        <v>28975131.39</v>
      </c>
      <c r="D84" s="15">
        <f>D12+D34+D39+D48+D68+D83</f>
        <v>31668998.38</v>
      </c>
      <c r="E84" s="15">
        <f>E12+E34+E39+E48+E68+E83</f>
        <v>30181465.21</v>
      </c>
      <c r="F84" s="198">
        <f t="shared" si="1"/>
        <v>55.2442854380561</v>
      </c>
      <c r="G84" s="15">
        <f>G12+G34+G48+G39+G52+G68+G83</f>
        <v>46855000</v>
      </c>
      <c r="H84" s="70"/>
    </row>
    <row r="85" spans="1:8" ht="25.5" thickBot="1">
      <c r="A85" s="1"/>
      <c r="B85" s="1"/>
      <c r="C85" s="1"/>
      <c r="D85" s="1"/>
      <c r="E85" s="1"/>
      <c r="F85" s="1"/>
      <c r="G85" s="1"/>
      <c r="H85" s="11">
        <f>SUM(H70:H83)</f>
        <v>23960920</v>
      </c>
    </row>
    <row r="86" spans="1:8" ht="26.25" thickBot="1" thickTop="1">
      <c r="A86" s="1"/>
      <c r="B86" s="1"/>
      <c r="C86" s="1"/>
      <c r="D86" s="1"/>
      <c r="E86" s="39"/>
      <c r="F86" s="39"/>
      <c r="G86" s="40"/>
      <c r="H86" s="15">
        <f>H12+H34+H39+H48+H68+H85+H52</f>
        <v>46476400</v>
      </c>
    </row>
    <row r="87" spans="1:8" ht="24.75">
      <c r="A87" s="1"/>
      <c r="B87" s="1"/>
      <c r="C87" s="1"/>
      <c r="D87" s="1"/>
      <c r="E87" s="39"/>
      <c r="F87" s="55"/>
      <c r="G87" s="53"/>
      <c r="H87" s="1"/>
    </row>
    <row r="88" spans="1:8" ht="24.75">
      <c r="A88" s="1"/>
      <c r="B88" s="1"/>
      <c r="C88" s="1"/>
      <c r="D88" s="1"/>
      <c r="E88" s="39"/>
      <c r="F88" s="41"/>
      <c r="G88" s="42"/>
      <c r="H88" s="40">
        <f>H12+H34+H39+H48+H52+H68</f>
        <v>22515480</v>
      </c>
    </row>
    <row r="89" spans="1:8" ht="24.75">
      <c r="A89" s="1"/>
      <c r="B89" s="1"/>
      <c r="C89" s="1"/>
      <c r="D89" s="1"/>
      <c r="E89" s="56"/>
      <c r="F89" s="57"/>
      <c r="G89" s="54"/>
      <c r="H89" s="53" t="e">
        <f>I75</f>
        <v>#REF!</v>
      </c>
    </row>
    <row r="90" spans="1:8" ht="24.75">
      <c r="A90" s="1"/>
      <c r="B90" s="1"/>
      <c r="C90" s="1"/>
      <c r="D90" s="1"/>
      <c r="E90" s="39"/>
      <c r="F90" s="41"/>
      <c r="G90" s="42"/>
      <c r="H90" s="42" t="e">
        <f>SUM(H88:H89)</f>
        <v>#REF!</v>
      </c>
    </row>
    <row r="91" spans="7:8" ht="24.75">
      <c r="G91" s="1">
        <v>23</v>
      </c>
      <c r="H91" s="54">
        <f>H79+H80+H81+H82+H83</f>
        <v>16514640</v>
      </c>
    </row>
    <row r="92" ht="23.25">
      <c r="H92" s="42" t="e">
        <f>SUM(H90:H91)</f>
        <v>#REF!</v>
      </c>
    </row>
  </sheetData>
  <sheetProtection/>
  <mergeCells count="12">
    <mergeCell ref="A1:G1"/>
    <mergeCell ref="A2:G2"/>
    <mergeCell ref="A3:G3"/>
    <mergeCell ref="A4:G4"/>
    <mergeCell ref="B5:E5"/>
    <mergeCell ref="F5:G5"/>
    <mergeCell ref="B6:B7"/>
    <mergeCell ref="C6:C7"/>
    <mergeCell ref="D6:D7"/>
    <mergeCell ref="E6:E7"/>
    <mergeCell ref="G6:G7"/>
    <mergeCell ref="H6:H7"/>
  </mergeCells>
  <printOptions/>
  <pageMargins left="0.1968503937007874" right="0.1968503937007874" top="0.5905511811023623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zoomScaleSheetLayoutView="100" zoomScalePageLayoutView="0" workbookViewId="0" topLeftCell="A1">
      <selection activeCell="G8" sqref="G1:G16384"/>
    </sheetView>
  </sheetViews>
  <sheetFormatPr defaultColWidth="9.140625" defaultRowHeight="15"/>
  <cols>
    <col min="1" max="1" width="57.00390625" style="0" customWidth="1"/>
    <col min="2" max="2" width="14.140625" style="0" customWidth="1"/>
    <col min="3" max="4" width="13.8515625" style="0" customWidth="1"/>
    <col min="5" max="5" width="14.140625" style="3" customWidth="1"/>
    <col min="6" max="6" width="8.00390625" style="0" customWidth="1"/>
    <col min="7" max="7" width="14.421875" style="0" customWidth="1"/>
    <col min="8" max="8" width="14.28125" style="0" bestFit="1" customWidth="1"/>
    <col min="9" max="9" width="19.421875" style="0" bestFit="1" customWidth="1"/>
  </cols>
  <sheetData>
    <row r="1" spans="1:13" ht="27.75">
      <c r="A1" s="199" t="s">
        <v>6</v>
      </c>
      <c r="B1" s="199"/>
      <c r="C1" s="199"/>
      <c r="D1" s="199"/>
      <c r="E1" s="199"/>
      <c r="F1" s="199"/>
      <c r="G1" s="199"/>
      <c r="H1" s="1"/>
      <c r="I1" s="1"/>
      <c r="J1" s="1"/>
      <c r="K1" s="1"/>
      <c r="L1" s="1"/>
      <c r="M1" s="1"/>
    </row>
    <row r="2" spans="1:13" ht="27.75">
      <c r="A2" s="199" t="s">
        <v>71</v>
      </c>
      <c r="B2" s="199"/>
      <c r="C2" s="199"/>
      <c r="D2" s="199"/>
      <c r="E2" s="199"/>
      <c r="F2" s="199"/>
      <c r="G2" s="199"/>
      <c r="H2" s="1"/>
      <c r="I2" s="1"/>
      <c r="J2" s="1"/>
      <c r="K2" s="1"/>
      <c r="L2" s="1"/>
      <c r="M2" s="1"/>
    </row>
    <row r="3" spans="1:13" ht="27.75">
      <c r="A3" s="199" t="s">
        <v>0</v>
      </c>
      <c r="B3" s="199"/>
      <c r="C3" s="199"/>
      <c r="D3" s="199"/>
      <c r="E3" s="199"/>
      <c r="F3" s="199"/>
      <c r="G3" s="199"/>
      <c r="H3" s="1"/>
      <c r="I3" s="1"/>
      <c r="J3" s="1"/>
      <c r="K3" s="1"/>
      <c r="L3" s="1"/>
      <c r="M3" s="1"/>
    </row>
    <row r="4" spans="1:13" ht="27.75">
      <c r="A4" s="200" t="s">
        <v>1</v>
      </c>
      <c r="B4" s="200"/>
      <c r="C4" s="200"/>
      <c r="D4" s="200"/>
      <c r="E4" s="200"/>
      <c r="F4" s="200"/>
      <c r="G4" s="200"/>
      <c r="H4" s="1"/>
      <c r="I4" s="1"/>
      <c r="J4" s="1"/>
      <c r="K4" s="1"/>
      <c r="L4" s="1"/>
      <c r="M4" s="1"/>
    </row>
    <row r="5" spans="1:13" ht="24.75">
      <c r="A5" s="46" t="s">
        <v>2</v>
      </c>
      <c r="B5" s="201" t="s">
        <v>3</v>
      </c>
      <c r="C5" s="202"/>
      <c r="D5" s="202"/>
      <c r="E5" s="203"/>
      <c r="F5" s="202" t="s">
        <v>5</v>
      </c>
      <c r="G5" s="203"/>
      <c r="H5" s="1"/>
      <c r="I5" s="1"/>
      <c r="J5" s="1"/>
      <c r="K5" s="1"/>
      <c r="L5" s="1"/>
      <c r="M5" s="1"/>
    </row>
    <row r="6" spans="1:13" ht="24.75">
      <c r="A6" s="8"/>
      <c r="B6" s="204" t="s">
        <v>4</v>
      </c>
      <c r="C6" s="204" t="s">
        <v>58</v>
      </c>
      <c r="D6" s="204" t="s">
        <v>61</v>
      </c>
      <c r="E6" s="206" t="s">
        <v>72</v>
      </c>
      <c r="F6" s="46" t="s">
        <v>67</v>
      </c>
      <c r="G6" s="204" t="s">
        <v>73</v>
      </c>
      <c r="H6" s="1"/>
      <c r="I6" s="1"/>
      <c r="J6" s="1"/>
      <c r="K6" s="1"/>
      <c r="L6" s="1"/>
      <c r="M6" s="1"/>
    </row>
    <row r="7" spans="1:13" ht="24.75">
      <c r="A7" s="2"/>
      <c r="B7" s="205"/>
      <c r="C7" s="205"/>
      <c r="D7" s="205"/>
      <c r="E7" s="207"/>
      <c r="F7" s="47" t="s">
        <v>68</v>
      </c>
      <c r="G7" s="205"/>
      <c r="H7" s="1"/>
      <c r="I7" s="1"/>
      <c r="J7" s="1"/>
      <c r="K7" s="1"/>
      <c r="L7" s="1"/>
      <c r="M7" s="1"/>
    </row>
    <row r="8" spans="1:13" ht="24.75">
      <c r="A8" s="17" t="s">
        <v>7</v>
      </c>
      <c r="B8" s="18"/>
      <c r="C8" s="19"/>
      <c r="D8" s="18"/>
      <c r="E8" s="18"/>
      <c r="F8" s="18"/>
      <c r="G8" s="18"/>
      <c r="H8" s="1"/>
      <c r="I8" s="1"/>
      <c r="J8" s="1"/>
      <c r="K8" s="1"/>
      <c r="L8" s="1"/>
      <c r="M8" s="1"/>
    </row>
    <row r="9" spans="1:13" ht="24.75">
      <c r="A9" s="20" t="s">
        <v>8</v>
      </c>
      <c r="B9" s="21">
        <v>358920.37</v>
      </c>
      <c r="C9" s="21">
        <v>557782.58</v>
      </c>
      <c r="D9" s="21">
        <v>818102.91</v>
      </c>
      <c r="E9" s="21">
        <v>950172.53</v>
      </c>
      <c r="F9" s="22">
        <f>(D9-G9)*100/D9</f>
        <v>-16.143090115643272</v>
      </c>
      <c r="G9" s="21">
        <v>950170</v>
      </c>
      <c r="H9" s="1"/>
      <c r="I9" s="1"/>
      <c r="J9" s="1"/>
      <c r="K9" s="1"/>
      <c r="L9" s="1"/>
      <c r="M9" s="1"/>
    </row>
    <row r="10" spans="1:13" ht="24.75">
      <c r="A10" s="20" t="s">
        <v>9</v>
      </c>
      <c r="B10" s="21">
        <v>86447.48</v>
      </c>
      <c r="C10" s="21">
        <v>40480.76</v>
      </c>
      <c r="D10" s="21">
        <v>33560.59</v>
      </c>
      <c r="E10" s="21">
        <v>35611.02</v>
      </c>
      <c r="F10" s="22">
        <f>(D10-G10)*100/D10</f>
        <v>-6.106597053269932</v>
      </c>
      <c r="G10" s="21">
        <v>35610</v>
      </c>
      <c r="H10" s="1"/>
      <c r="I10" s="1"/>
      <c r="J10" s="1"/>
      <c r="K10" s="1"/>
      <c r="L10" s="1"/>
      <c r="M10" s="1"/>
    </row>
    <row r="11" spans="1:13" ht="24.75">
      <c r="A11" s="23" t="s">
        <v>10</v>
      </c>
      <c r="B11" s="24">
        <v>81498</v>
      </c>
      <c r="C11" s="24">
        <v>83140</v>
      </c>
      <c r="D11" s="24">
        <v>79375</v>
      </c>
      <c r="E11" s="24">
        <v>77061</v>
      </c>
      <c r="F11" s="25">
        <f>(D11-G11)*100/D11</f>
        <v>2.916535433070866</v>
      </c>
      <c r="G11" s="24">
        <v>77060</v>
      </c>
      <c r="H11" s="1"/>
      <c r="I11" s="1"/>
      <c r="J11" s="1"/>
      <c r="K11" s="1"/>
      <c r="L11" s="1"/>
      <c r="M11" s="1"/>
    </row>
    <row r="12" spans="1:13" ht="25.5" thickBot="1">
      <c r="A12" s="5" t="s">
        <v>11</v>
      </c>
      <c r="B12" s="11">
        <f>SUM(B9:B11)</f>
        <v>526865.85</v>
      </c>
      <c r="C12" s="11">
        <f>SUM(C9:C11)</f>
        <v>681403.34</v>
      </c>
      <c r="D12" s="11">
        <f>SUM(D9:D11)</f>
        <v>931038.5</v>
      </c>
      <c r="E12" s="12">
        <f>SUM(E9:E11)</f>
        <v>1062844.55</v>
      </c>
      <c r="F12" s="13">
        <f>(D12-G12)*100/D12</f>
        <v>-14.15639632517882</v>
      </c>
      <c r="G12" s="11">
        <f>SUM(G9:G11)</f>
        <v>1062840</v>
      </c>
      <c r="H12" s="1"/>
      <c r="I12" s="1"/>
      <c r="J12" s="1"/>
      <c r="K12" s="1"/>
      <c r="L12" s="1"/>
      <c r="M12" s="1"/>
    </row>
    <row r="13" spans="1:13" ht="25.5" thickTop="1">
      <c r="A13" s="17" t="s">
        <v>12</v>
      </c>
      <c r="B13" s="26"/>
      <c r="C13" s="26"/>
      <c r="D13" s="26"/>
      <c r="E13" s="26"/>
      <c r="F13" s="27"/>
      <c r="G13" s="26"/>
      <c r="H13" s="1"/>
      <c r="I13" s="1"/>
      <c r="J13" s="1"/>
      <c r="K13" s="1"/>
      <c r="L13" s="1"/>
      <c r="M13" s="1"/>
    </row>
    <row r="14" spans="1:13" ht="24.75">
      <c r="A14" s="20" t="s">
        <v>66</v>
      </c>
      <c r="B14" s="21">
        <v>0</v>
      </c>
      <c r="C14" s="21">
        <v>0</v>
      </c>
      <c r="D14" s="21">
        <v>0</v>
      </c>
      <c r="E14" s="21">
        <v>4403.8</v>
      </c>
      <c r="F14" s="22">
        <v>0</v>
      </c>
      <c r="G14" s="21">
        <v>4400</v>
      </c>
      <c r="H14" s="1"/>
      <c r="I14" s="1"/>
      <c r="J14" s="1"/>
      <c r="K14" s="1"/>
      <c r="L14" s="1"/>
      <c r="M14" s="1"/>
    </row>
    <row r="15" spans="1:13" ht="24.75">
      <c r="A15" s="20" t="s">
        <v>62</v>
      </c>
      <c r="B15" s="21">
        <v>0</v>
      </c>
      <c r="C15" s="21">
        <v>0</v>
      </c>
      <c r="D15" s="21">
        <v>0</v>
      </c>
      <c r="E15" s="21">
        <v>540</v>
      </c>
      <c r="F15" s="22">
        <v>0</v>
      </c>
      <c r="G15" s="21">
        <v>540</v>
      </c>
      <c r="H15" s="1"/>
      <c r="I15" s="1"/>
      <c r="J15" s="1"/>
      <c r="K15" s="1"/>
      <c r="L15" s="1"/>
      <c r="M15" s="1"/>
    </row>
    <row r="16" spans="1:13" ht="24.75">
      <c r="A16" s="20" t="s">
        <v>60</v>
      </c>
      <c r="B16" s="21">
        <v>0</v>
      </c>
      <c r="C16" s="21">
        <v>0</v>
      </c>
      <c r="D16" s="21">
        <v>0</v>
      </c>
      <c r="E16" s="21">
        <v>4778</v>
      </c>
      <c r="F16" s="22">
        <v>0</v>
      </c>
      <c r="G16" s="21">
        <v>4780</v>
      </c>
      <c r="H16" s="1"/>
      <c r="I16" s="1"/>
      <c r="J16" s="1"/>
      <c r="K16" s="1"/>
      <c r="L16" s="1"/>
      <c r="M16" s="1"/>
    </row>
    <row r="17" spans="1:13" ht="24.75">
      <c r="A17" s="20" t="s">
        <v>13</v>
      </c>
      <c r="B17" s="21">
        <v>0</v>
      </c>
      <c r="C17" s="21">
        <v>0</v>
      </c>
      <c r="D17" s="21">
        <v>0</v>
      </c>
      <c r="E17" s="21">
        <v>0</v>
      </c>
      <c r="F17" s="22">
        <v>0</v>
      </c>
      <c r="G17" s="21">
        <v>130</v>
      </c>
      <c r="H17" s="1"/>
      <c r="I17" s="1"/>
      <c r="J17" s="1"/>
      <c r="K17" s="1"/>
      <c r="L17" s="1"/>
      <c r="M17" s="1"/>
    </row>
    <row r="18" spans="1:13" ht="24.75">
      <c r="A18" s="20" t="s">
        <v>14</v>
      </c>
      <c r="B18" s="28"/>
      <c r="C18" s="28"/>
      <c r="D18" s="21"/>
      <c r="E18" s="21"/>
      <c r="F18" s="22"/>
      <c r="G18" s="21"/>
      <c r="H18" s="1"/>
      <c r="I18" s="1"/>
      <c r="J18" s="1"/>
      <c r="K18" s="1"/>
      <c r="L18" s="1"/>
      <c r="M18" s="1"/>
    </row>
    <row r="19" spans="1:13" ht="24.75">
      <c r="A19" s="20" t="s">
        <v>15</v>
      </c>
      <c r="B19" s="21">
        <v>390</v>
      </c>
      <c r="C19" s="21">
        <v>250</v>
      </c>
      <c r="D19" s="21">
        <v>180</v>
      </c>
      <c r="E19" s="21">
        <v>260</v>
      </c>
      <c r="F19" s="22">
        <f>(D19-G19)*100/D19</f>
        <v>-44.44444444444444</v>
      </c>
      <c r="G19" s="21">
        <v>260</v>
      </c>
      <c r="H19" s="1"/>
      <c r="I19" s="1"/>
      <c r="J19" s="1"/>
      <c r="K19" s="1"/>
      <c r="L19" s="1"/>
      <c r="M19" s="1"/>
    </row>
    <row r="20" spans="1:13" ht="24.75">
      <c r="A20" s="23" t="s">
        <v>16</v>
      </c>
      <c r="B20" s="24"/>
      <c r="C20" s="24"/>
      <c r="D20" s="24"/>
      <c r="E20" s="24"/>
      <c r="F20" s="25"/>
      <c r="G20" s="24"/>
      <c r="H20" s="1"/>
      <c r="I20" s="1"/>
      <c r="J20" s="1"/>
      <c r="K20" s="1"/>
      <c r="L20" s="1"/>
      <c r="M20" s="1"/>
    </row>
    <row r="21" spans="1:13" ht="24.75">
      <c r="A21" s="32" t="s">
        <v>17</v>
      </c>
      <c r="B21" s="19">
        <v>1980</v>
      </c>
      <c r="C21" s="19">
        <v>2230</v>
      </c>
      <c r="D21" s="19">
        <v>1860</v>
      </c>
      <c r="E21" s="19">
        <v>2470</v>
      </c>
      <c r="F21" s="31">
        <f>(D21-G21)*100/D21</f>
        <v>-32.795698924731184</v>
      </c>
      <c r="G21" s="19">
        <v>2470</v>
      </c>
      <c r="H21" s="1"/>
      <c r="I21" s="1"/>
      <c r="J21" s="1"/>
      <c r="K21" s="1"/>
      <c r="L21" s="1"/>
      <c r="M21" s="1"/>
    </row>
    <row r="22" spans="1:13" ht="24.75">
      <c r="A22" s="20" t="s">
        <v>18</v>
      </c>
      <c r="B22" s="21">
        <v>8360</v>
      </c>
      <c r="C22" s="21">
        <v>8770</v>
      </c>
      <c r="D22" s="21">
        <v>38127</v>
      </c>
      <c r="E22" s="21">
        <v>9990</v>
      </c>
      <c r="F22" s="22">
        <f>(D22-G22)*100/D22</f>
        <v>73.79809583759541</v>
      </c>
      <c r="G22" s="21">
        <v>9990</v>
      </c>
      <c r="H22" s="1"/>
      <c r="I22" s="1"/>
      <c r="J22" s="1"/>
      <c r="K22" s="1"/>
      <c r="L22" s="1"/>
      <c r="M22" s="1"/>
    </row>
    <row r="23" spans="1:13" ht="24.75">
      <c r="A23" s="20" t="s">
        <v>19</v>
      </c>
      <c r="B23" s="21">
        <v>23900</v>
      </c>
      <c r="C23" s="21">
        <v>20900</v>
      </c>
      <c r="D23" s="21">
        <v>32490</v>
      </c>
      <c r="E23" s="21">
        <v>20220</v>
      </c>
      <c r="F23" s="22">
        <f>(D23-G23)*100/D23</f>
        <v>37.765466297322256</v>
      </c>
      <c r="G23" s="21">
        <v>20220</v>
      </c>
      <c r="H23" s="1"/>
      <c r="I23" s="1"/>
      <c r="J23" s="1"/>
      <c r="K23" s="1"/>
      <c r="L23" s="1"/>
      <c r="M23" s="1"/>
    </row>
    <row r="24" spans="1:13" ht="24.75">
      <c r="A24" s="20" t="s">
        <v>20</v>
      </c>
      <c r="B24" s="21">
        <v>20599</v>
      </c>
      <c r="C24" s="21">
        <v>468995</v>
      </c>
      <c r="D24" s="21">
        <v>65186</v>
      </c>
      <c r="E24" s="21">
        <v>16314</v>
      </c>
      <c r="F24" s="22">
        <f>(D24-G24)*100/D24</f>
        <v>74.97929003160188</v>
      </c>
      <c r="G24" s="21">
        <v>16310</v>
      </c>
      <c r="H24" s="1"/>
      <c r="I24" s="1"/>
      <c r="J24" s="1"/>
      <c r="K24" s="1"/>
      <c r="L24" s="1"/>
      <c r="M24" s="1"/>
    </row>
    <row r="25" spans="1:13" ht="24.75">
      <c r="A25" s="20" t="s">
        <v>21</v>
      </c>
      <c r="B25" s="21">
        <v>0</v>
      </c>
      <c r="C25" s="21">
        <v>0</v>
      </c>
      <c r="D25" s="21">
        <v>0</v>
      </c>
      <c r="E25" s="21"/>
      <c r="F25" s="22">
        <v>0</v>
      </c>
      <c r="G25" s="21">
        <v>180</v>
      </c>
      <c r="H25" s="3"/>
      <c r="I25" s="3"/>
      <c r="J25" s="3"/>
      <c r="K25" s="3"/>
      <c r="L25" s="3"/>
      <c r="M25" s="3"/>
    </row>
    <row r="26" spans="1:13" ht="24.75">
      <c r="A26" s="20" t="s">
        <v>25</v>
      </c>
      <c r="B26" s="21">
        <v>56000</v>
      </c>
      <c r="C26" s="21">
        <v>47500</v>
      </c>
      <c r="D26" s="21">
        <v>38000</v>
      </c>
      <c r="E26" s="21">
        <v>41750</v>
      </c>
      <c r="F26" s="22">
        <f>(D26-G26)*100/D26</f>
        <v>-9.868421052631579</v>
      </c>
      <c r="G26" s="21">
        <v>41750</v>
      </c>
      <c r="H26" s="3"/>
      <c r="I26" s="3"/>
      <c r="J26" s="3"/>
      <c r="K26" s="3"/>
      <c r="L26" s="3"/>
      <c r="M26" s="3"/>
    </row>
    <row r="27" spans="1:13" ht="24.75">
      <c r="A27" s="20" t="s">
        <v>26</v>
      </c>
      <c r="B27" s="21"/>
      <c r="C27" s="21"/>
      <c r="D27" s="21"/>
      <c r="E27" s="21"/>
      <c r="F27" s="22"/>
      <c r="G27" s="21"/>
      <c r="H27" s="3"/>
      <c r="I27" s="3"/>
      <c r="J27" s="3"/>
      <c r="K27" s="3"/>
      <c r="L27" s="3"/>
      <c r="M27" s="3"/>
    </row>
    <row r="28" spans="1:13" ht="24.75">
      <c r="A28" s="20" t="s">
        <v>22</v>
      </c>
      <c r="B28" s="21">
        <v>500</v>
      </c>
      <c r="C28" s="21">
        <v>900</v>
      </c>
      <c r="D28" s="21">
        <v>600</v>
      </c>
      <c r="E28" s="21"/>
      <c r="F28" s="22">
        <f>(D28-G28)*100/D28</f>
        <v>83.33333333333333</v>
      </c>
      <c r="G28" s="21">
        <v>100</v>
      </c>
      <c r="H28" s="3"/>
      <c r="I28" s="3"/>
      <c r="J28" s="3"/>
      <c r="K28" s="3"/>
      <c r="L28" s="3"/>
      <c r="M28" s="3"/>
    </row>
    <row r="29" spans="1:13" ht="24.75">
      <c r="A29" s="20" t="s">
        <v>23</v>
      </c>
      <c r="B29" s="21"/>
      <c r="C29" s="21"/>
      <c r="D29" s="21"/>
      <c r="E29" s="21"/>
      <c r="F29" s="22"/>
      <c r="G29" s="21"/>
      <c r="H29" s="3"/>
      <c r="I29" s="3"/>
      <c r="J29" s="3"/>
      <c r="K29" s="3"/>
      <c r="L29" s="3"/>
      <c r="M29" s="3"/>
    </row>
    <row r="30" spans="1:13" ht="24.75">
      <c r="A30" s="20" t="s">
        <v>24</v>
      </c>
      <c r="B30" s="21">
        <v>2000</v>
      </c>
      <c r="C30" s="21">
        <v>4000</v>
      </c>
      <c r="D30" s="21">
        <v>4000</v>
      </c>
      <c r="E30" s="21"/>
      <c r="F30" s="22">
        <f>(D30-G30)*100/D30</f>
        <v>75</v>
      </c>
      <c r="G30" s="21">
        <v>1000</v>
      </c>
      <c r="H30" s="3"/>
      <c r="I30" s="3"/>
      <c r="J30" s="3"/>
      <c r="K30" s="3"/>
      <c r="L30" s="3"/>
      <c r="M30" s="3"/>
    </row>
    <row r="31" spans="1:13" ht="24.75">
      <c r="A31" s="20" t="s">
        <v>59</v>
      </c>
      <c r="B31" s="21">
        <v>0</v>
      </c>
      <c r="C31" s="21">
        <v>0</v>
      </c>
      <c r="D31" s="21">
        <v>0</v>
      </c>
      <c r="E31" s="21">
        <v>840</v>
      </c>
      <c r="F31" s="22">
        <v>0</v>
      </c>
      <c r="G31" s="21">
        <v>840</v>
      </c>
      <c r="H31" s="3"/>
      <c r="I31" s="3"/>
      <c r="J31" s="3"/>
      <c r="K31" s="3"/>
      <c r="L31" s="3"/>
      <c r="M31" s="3"/>
    </row>
    <row r="32" spans="1:13" ht="24.75">
      <c r="A32" s="23" t="s">
        <v>27</v>
      </c>
      <c r="B32" s="24">
        <v>1663</v>
      </c>
      <c r="C32" s="24">
        <v>7983.6</v>
      </c>
      <c r="D32" s="24">
        <v>5891.6</v>
      </c>
      <c r="E32" s="24">
        <v>1900</v>
      </c>
      <c r="F32" s="25">
        <f>(D32-G32)*100/D32</f>
        <v>67.75069590603572</v>
      </c>
      <c r="G32" s="24">
        <v>1900</v>
      </c>
      <c r="H32" s="3"/>
      <c r="I32" s="3"/>
      <c r="J32" s="3"/>
      <c r="K32" s="3"/>
      <c r="L32" s="3"/>
      <c r="M32" s="3"/>
    </row>
    <row r="33" spans="1:7" ht="24.75">
      <c r="A33" s="5" t="s">
        <v>28</v>
      </c>
      <c r="B33" s="6">
        <f>SUM(B16:B32)</f>
        <v>115392</v>
      </c>
      <c r="C33" s="6">
        <f>SUM(C16:C32)</f>
        <v>561528.6</v>
      </c>
      <c r="D33" s="6">
        <f>SUM(D16:D32)</f>
        <v>186334.6</v>
      </c>
      <c r="E33" s="35">
        <f>SUM(E14:E32)</f>
        <v>103465.8</v>
      </c>
      <c r="F33" s="7">
        <f>(E33-G33)*100/E33</f>
        <v>-1.3571634298483142</v>
      </c>
      <c r="G33" s="6">
        <f>SUM(G14:G32)</f>
        <v>104870</v>
      </c>
    </row>
    <row r="34" spans="1:7" ht="24.75">
      <c r="A34" s="17" t="s">
        <v>29</v>
      </c>
      <c r="B34" s="19"/>
      <c r="C34" s="18"/>
      <c r="D34" s="18"/>
      <c r="E34" s="18"/>
      <c r="F34" s="31"/>
      <c r="G34" s="18"/>
    </row>
    <row r="35" spans="1:7" ht="24.75">
      <c r="A35" s="20" t="s">
        <v>30</v>
      </c>
      <c r="B35" s="21">
        <v>0</v>
      </c>
      <c r="C35" s="21">
        <v>0</v>
      </c>
      <c r="D35" s="21">
        <v>0</v>
      </c>
      <c r="E35" s="21"/>
      <c r="F35" s="22">
        <v>0</v>
      </c>
      <c r="G35" s="21">
        <v>100</v>
      </c>
    </row>
    <row r="36" spans="1:7" ht="24.75">
      <c r="A36" s="23" t="s">
        <v>31</v>
      </c>
      <c r="B36" s="24">
        <v>154212.61</v>
      </c>
      <c r="C36" s="24">
        <v>334786.35</v>
      </c>
      <c r="D36" s="24">
        <v>298072.75</v>
      </c>
      <c r="E36" s="24">
        <v>293383.24</v>
      </c>
      <c r="F36" s="25">
        <f>(D36-G36)*100/D36</f>
        <v>1.5743639765795432</v>
      </c>
      <c r="G36" s="24">
        <v>293380</v>
      </c>
    </row>
    <row r="37" spans="1:7" ht="24.75">
      <c r="A37" s="5" t="s">
        <v>32</v>
      </c>
      <c r="B37" s="6">
        <f>SUM(B35:B36)</f>
        <v>154212.61</v>
      </c>
      <c r="C37" s="6">
        <f>SUM(C35:C36)</f>
        <v>334786.35</v>
      </c>
      <c r="D37" s="6">
        <f>SUM(D35:D36)</f>
        <v>298072.75</v>
      </c>
      <c r="E37" s="6">
        <f>SUM(E35:E36)</f>
        <v>293383.24</v>
      </c>
      <c r="F37" s="7">
        <f>(E37-G37)*100/E37</f>
        <v>-0.0329807524110816</v>
      </c>
      <c r="G37" s="6">
        <f>SUM(G35:G36)</f>
        <v>293480</v>
      </c>
    </row>
    <row r="38" spans="1:7" ht="24.75">
      <c r="A38" s="17" t="s">
        <v>33</v>
      </c>
      <c r="B38" s="26"/>
      <c r="C38" s="26"/>
      <c r="D38" s="26"/>
      <c r="E38" s="26"/>
      <c r="F38" s="27"/>
      <c r="G38" s="26"/>
    </row>
    <row r="39" spans="1:7" ht="24.75">
      <c r="A39" s="20" t="s">
        <v>34</v>
      </c>
      <c r="B39" s="21">
        <v>221000</v>
      </c>
      <c r="C39" s="21">
        <v>174000</v>
      </c>
      <c r="D39" s="21">
        <v>109700</v>
      </c>
      <c r="E39" s="21">
        <v>277000</v>
      </c>
      <c r="F39" s="22">
        <f>(D39-G39)*100/D39</f>
        <v>8.842297174111213</v>
      </c>
      <c r="G39" s="21">
        <v>100000</v>
      </c>
    </row>
    <row r="40" spans="1:7" ht="24.75">
      <c r="A40" s="20" t="s">
        <v>35</v>
      </c>
      <c r="B40" s="21">
        <v>96</v>
      </c>
      <c r="C40" s="21">
        <v>288</v>
      </c>
      <c r="D40" s="21">
        <v>21</v>
      </c>
      <c r="E40" s="21">
        <v>19</v>
      </c>
      <c r="F40" s="22">
        <f>(D40-G40)*100/D40</f>
        <v>4.761904761904762</v>
      </c>
      <c r="G40" s="21">
        <v>20</v>
      </c>
    </row>
    <row r="41" spans="1:7" ht="24.75">
      <c r="A41" s="20" t="s">
        <v>36</v>
      </c>
      <c r="B41" s="28"/>
      <c r="C41" s="28"/>
      <c r="D41" s="28"/>
      <c r="E41" s="21"/>
      <c r="F41" s="28"/>
      <c r="G41" s="28"/>
    </row>
    <row r="42" spans="1:7" ht="24.75">
      <c r="A42" s="20" t="s">
        <v>37</v>
      </c>
      <c r="B42" s="21">
        <v>51850</v>
      </c>
      <c r="C42" s="21">
        <v>61900</v>
      </c>
      <c r="D42" s="21">
        <v>47300</v>
      </c>
      <c r="E42" s="21">
        <v>77950</v>
      </c>
      <c r="F42" s="22">
        <f>(D42-G42)*100/D42</f>
        <v>-64.79915433403805</v>
      </c>
      <c r="G42" s="21">
        <v>77950</v>
      </c>
    </row>
    <row r="43" spans="1:7" ht="24.75">
      <c r="A43" s="20" t="s">
        <v>38</v>
      </c>
      <c r="B43" s="21">
        <v>1000</v>
      </c>
      <c r="C43" s="21">
        <v>20547</v>
      </c>
      <c r="D43" s="21">
        <v>10349</v>
      </c>
      <c r="E43" s="21">
        <v>17276</v>
      </c>
      <c r="F43" s="22">
        <f>(D43-G43)*100/D43</f>
        <v>-66.97265436274036</v>
      </c>
      <c r="G43" s="21">
        <v>17280</v>
      </c>
    </row>
    <row r="44" spans="1:7" ht="24.75">
      <c r="A44" s="20"/>
      <c r="B44" s="21"/>
      <c r="C44" s="21"/>
      <c r="D44" s="21"/>
      <c r="E44" s="21"/>
      <c r="F44" s="22"/>
      <c r="G44" s="21"/>
    </row>
    <row r="45" spans="1:7" ht="24.75">
      <c r="A45" s="23"/>
      <c r="B45" s="24"/>
      <c r="C45" s="24"/>
      <c r="D45" s="24"/>
      <c r="E45" s="24"/>
      <c r="F45" s="25"/>
      <c r="G45" s="24"/>
    </row>
    <row r="46" spans="1:7" ht="24.75">
      <c r="A46" s="5" t="s">
        <v>39</v>
      </c>
      <c r="B46" s="6">
        <f>SUM(B39:B45)</f>
        <v>273946</v>
      </c>
      <c r="C46" s="6">
        <f>SUM(C39:C45)</f>
        <v>256735</v>
      </c>
      <c r="D46" s="6">
        <f>SUM(D39:D45)</f>
        <v>167370</v>
      </c>
      <c r="E46" s="35">
        <f>SUM(E39:E45)</f>
        <v>372245</v>
      </c>
      <c r="F46" s="7">
        <f>(E46-G46)*100/E46</f>
        <v>47.54798586952142</v>
      </c>
      <c r="G46" s="6">
        <f>SUM(G39:G43)</f>
        <v>195250</v>
      </c>
    </row>
    <row r="47" spans="1:7" ht="24.75">
      <c r="A47" s="29" t="s">
        <v>63</v>
      </c>
      <c r="B47" s="36"/>
      <c r="C47" s="36"/>
      <c r="D47" s="36"/>
      <c r="E47" s="36"/>
      <c r="F47" s="31"/>
      <c r="G47" s="36"/>
    </row>
    <row r="48" spans="1:7" ht="24.75">
      <c r="A48" s="23" t="s">
        <v>64</v>
      </c>
      <c r="B48" s="30"/>
      <c r="C48" s="30"/>
      <c r="D48" s="30"/>
      <c r="E48" s="30"/>
      <c r="F48" s="25">
        <v>0</v>
      </c>
      <c r="G48" s="25">
        <v>500</v>
      </c>
    </row>
    <row r="49" spans="1:7" ht="24.75">
      <c r="A49" s="5" t="s">
        <v>65</v>
      </c>
      <c r="B49" s="6">
        <v>0</v>
      </c>
      <c r="C49" s="6">
        <v>0</v>
      </c>
      <c r="D49" s="6">
        <v>0</v>
      </c>
      <c r="E49" s="6">
        <v>0</v>
      </c>
      <c r="F49" s="7">
        <v>0</v>
      </c>
      <c r="G49" s="6">
        <f>G48</f>
        <v>500</v>
      </c>
    </row>
    <row r="50" spans="1:7" ht="24.75">
      <c r="A50" s="17" t="s">
        <v>40</v>
      </c>
      <c r="B50" s="18"/>
      <c r="C50" s="18"/>
      <c r="D50" s="18"/>
      <c r="E50" s="18"/>
      <c r="F50" s="31"/>
      <c r="G50" s="18"/>
    </row>
    <row r="51" spans="1:7" ht="24.75">
      <c r="A51" s="20" t="s">
        <v>69</v>
      </c>
      <c r="B51" s="21">
        <v>0</v>
      </c>
      <c r="C51" s="21">
        <v>0</v>
      </c>
      <c r="D51" s="21">
        <v>0</v>
      </c>
      <c r="E51" s="21">
        <v>429857.17</v>
      </c>
      <c r="F51" s="22">
        <v>0</v>
      </c>
      <c r="G51" s="21">
        <v>429860</v>
      </c>
    </row>
    <row r="52" spans="1:7" ht="24.75">
      <c r="A52" s="20" t="s">
        <v>41</v>
      </c>
      <c r="B52" s="21">
        <v>5985558.56</v>
      </c>
      <c r="C52" s="21">
        <v>9504138.51</v>
      </c>
      <c r="D52" s="21">
        <v>7875088.97</v>
      </c>
      <c r="E52" s="21">
        <v>8120961.92</v>
      </c>
      <c r="F52" s="22">
        <f aca="true" t="shared" si="0" ref="F52:F61">(D52-G52)*100/D52</f>
        <v>-3.122136536319034</v>
      </c>
      <c r="G52" s="21">
        <v>8120960</v>
      </c>
    </row>
    <row r="53" spans="1:7" ht="24.75">
      <c r="A53" s="20" t="s">
        <v>42</v>
      </c>
      <c r="B53" s="21">
        <v>3249242.66</v>
      </c>
      <c r="C53" s="21">
        <v>3522636.07</v>
      </c>
      <c r="D53" s="21">
        <v>3759544.36</v>
      </c>
      <c r="E53" s="21">
        <v>3755002.52</v>
      </c>
      <c r="F53" s="22">
        <f t="shared" si="0"/>
        <v>-0.4111040732606259</v>
      </c>
      <c r="G53" s="21">
        <v>3775000</v>
      </c>
    </row>
    <row r="54" spans="1:7" ht="24.75">
      <c r="A54" s="20" t="s">
        <v>43</v>
      </c>
      <c r="B54" s="21">
        <v>76741.4</v>
      </c>
      <c r="C54" s="21">
        <v>90555.4</v>
      </c>
      <c r="D54" s="21">
        <v>102357.79</v>
      </c>
      <c r="E54" s="21">
        <v>105715.1</v>
      </c>
      <c r="F54" s="22">
        <f t="shared" si="0"/>
        <v>-3.284762205201975</v>
      </c>
      <c r="G54" s="21">
        <v>105720</v>
      </c>
    </row>
    <row r="55" spans="1:7" ht="24.75">
      <c r="A55" s="20" t="s">
        <v>44</v>
      </c>
      <c r="B55" s="21">
        <v>1470500</v>
      </c>
      <c r="C55" s="21">
        <v>1491321.81</v>
      </c>
      <c r="D55" s="21">
        <v>1637633.34</v>
      </c>
      <c r="E55" s="21">
        <v>1843059.01</v>
      </c>
      <c r="F55" s="22">
        <f t="shared" si="0"/>
        <v>-12.544118086897273</v>
      </c>
      <c r="G55" s="21">
        <v>1843060</v>
      </c>
    </row>
    <row r="56" spans="1:7" ht="24.75">
      <c r="A56" s="20" t="s">
        <v>45</v>
      </c>
      <c r="B56" s="21">
        <v>2642591.15</v>
      </c>
      <c r="C56" s="21">
        <v>3260414.54</v>
      </c>
      <c r="D56" s="21">
        <v>2227505.91</v>
      </c>
      <c r="E56" s="21">
        <v>3174985.96</v>
      </c>
      <c r="F56" s="22">
        <f t="shared" si="0"/>
        <v>-42.5356487606356</v>
      </c>
      <c r="G56" s="21">
        <v>3174990</v>
      </c>
    </row>
    <row r="57" spans="1:7" ht="24.75">
      <c r="A57" s="20" t="s">
        <v>46</v>
      </c>
      <c r="B57" s="21">
        <v>26029.73</v>
      </c>
      <c r="C57" s="21">
        <v>0</v>
      </c>
      <c r="D57" s="21">
        <v>4010</v>
      </c>
      <c r="E57" s="21">
        <v>27600</v>
      </c>
      <c r="F57" s="22">
        <f t="shared" si="0"/>
        <v>-588.279301745636</v>
      </c>
      <c r="G57" s="21">
        <v>27600</v>
      </c>
    </row>
    <row r="58" spans="1:7" ht="24.75">
      <c r="A58" s="20" t="s">
        <v>47</v>
      </c>
      <c r="B58" s="21">
        <v>702193.38</v>
      </c>
      <c r="C58" s="21">
        <v>550300.01</v>
      </c>
      <c r="D58" s="21">
        <v>626544.27</v>
      </c>
      <c r="E58" s="21">
        <v>815013.05</v>
      </c>
      <c r="F58" s="22">
        <f t="shared" si="0"/>
        <v>-30.08019369485256</v>
      </c>
      <c r="G58" s="21">
        <v>815010</v>
      </c>
    </row>
    <row r="59" spans="1:7" ht="24.75">
      <c r="A59" s="23" t="s">
        <v>48</v>
      </c>
      <c r="B59" s="24">
        <v>83397.03</v>
      </c>
      <c r="C59" s="24">
        <v>134460.36</v>
      </c>
      <c r="D59" s="24">
        <v>128651.24</v>
      </c>
      <c r="E59" s="24">
        <v>91375.06</v>
      </c>
      <c r="F59" s="25">
        <f t="shared" si="0"/>
        <v>28.970758462957686</v>
      </c>
      <c r="G59" s="24">
        <v>91380</v>
      </c>
    </row>
    <row r="60" spans="1:7" ht="24.75">
      <c r="A60" s="32" t="s">
        <v>49</v>
      </c>
      <c r="B60" s="19">
        <v>37752.16</v>
      </c>
      <c r="C60" s="19">
        <v>1248.66</v>
      </c>
      <c r="D60" s="19">
        <v>8573.66</v>
      </c>
      <c r="E60" s="19">
        <v>10459</v>
      </c>
      <c r="F60" s="31">
        <f t="shared" si="0"/>
        <v>-22.00157225735567</v>
      </c>
      <c r="G60" s="19">
        <v>10460</v>
      </c>
    </row>
    <row r="61" spans="1:7" ht="24.75">
      <c r="A61" s="20" t="s">
        <v>70</v>
      </c>
      <c r="B61" s="21">
        <v>1916101</v>
      </c>
      <c r="C61" s="21">
        <v>1970944</v>
      </c>
      <c r="D61" s="21">
        <v>1467419</v>
      </c>
      <c r="E61" s="21">
        <v>2464496</v>
      </c>
      <c r="F61" s="22">
        <f t="shared" si="0"/>
        <v>-67.94794124922738</v>
      </c>
      <c r="G61" s="21">
        <v>2464500</v>
      </c>
    </row>
    <row r="62" spans="1:7" ht="24.75">
      <c r="A62" s="20" t="s">
        <v>50</v>
      </c>
      <c r="B62" s="21"/>
      <c r="C62" s="21"/>
      <c r="D62" s="28"/>
      <c r="E62" s="21"/>
      <c r="F62" s="22"/>
      <c r="G62" s="28"/>
    </row>
    <row r="63" spans="1:7" ht="24.75">
      <c r="A63" s="23" t="s">
        <v>51</v>
      </c>
      <c r="B63" s="24">
        <v>0</v>
      </c>
      <c r="C63" s="24">
        <v>0</v>
      </c>
      <c r="D63" s="24">
        <v>0</v>
      </c>
      <c r="E63" s="24"/>
      <c r="F63" s="25">
        <v>0</v>
      </c>
      <c r="G63" s="24">
        <v>0</v>
      </c>
    </row>
    <row r="64" spans="1:9" ht="25.5" thickBot="1">
      <c r="A64" s="5" t="s">
        <v>52</v>
      </c>
      <c r="B64" s="11">
        <f>SUM(B51:B63)</f>
        <v>16190107.07</v>
      </c>
      <c r="C64" s="11">
        <f>SUM(C51:C63)</f>
        <v>20526019.360000003</v>
      </c>
      <c r="D64" s="11">
        <f>SUM(D51:D63)</f>
        <v>17837328.54</v>
      </c>
      <c r="E64" s="12">
        <f>SUM(E51:E63)</f>
        <v>20838524.79</v>
      </c>
      <c r="F64" s="13">
        <f>(E64-G64)*100/E64</f>
        <v>-0.09604907353905302</v>
      </c>
      <c r="G64" s="11">
        <f>SUM(G51:G63)</f>
        <v>20858540</v>
      </c>
      <c r="I64" s="37">
        <f>G12+G33+G37+G46+G49+G64</f>
        <v>22515480</v>
      </c>
    </row>
    <row r="65" spans="1:9" ht="25.5" thickTop="1">
      <c r="A65" s="4" t="s">
        <v>53</v>
      </c>
      <c r="B65" s="9"/>
      <c r="C65" s="9"/>
      <c r="D65" s="9"/>
      <c r="E65" s="14"/>
      <c r="F65" s="10"/>
      <c r="G65" s="9"/>
      <c r="I65" s="37">
        <v>22055600</v>
      </c>
    </row>
    <row r="66" spans="1:9" ht="24.75">
      <c r="A66" s="32" t="s">
        <v>54</v>
      </c>
      <c r="B66" s="19">
        <v>9478566</v>
      </c>
      <c r="C66" s="19">
        <v>9090493</v>
      </c>
      <c r="D66" s="19">
        <v>9554987</v>
      </c>
      <c r="E66" s="19">
        <v>8998535</v>
      </c>
      <c r="F66" s="31">
        <f>(D66-G66)*100/D66</f>
        <v>42.61206216188468</v>
      </c>
      <c r="G66" s="43">
        <v>5483410</v>
      </c>
      <c r="I66" s="37">
        <f>SUM(I64:I65)</f>
        <v>44571080</v>
      </c>
    </row>
    <row r="67" spans="1:7" ht="24.75">
      <c r="A67" s="20" t="s">
        <v>55</v>
      </c>
      <c r="B67" s="28"/>
      <c r="C67" s="28"/>
      <c r="D67" s="28"/>
      <c r="E67" s="21"/>
      <c r="F67" s="22"/>
      <c r="G67" s="44"/>
    </row>
    <row r="68" spans="1:7" ht="24.75">
      <c r="A68" s="20" t="s">
        <v>87</v>
      </c>
      <c r="B68" s="28"/>
      <c r="C68" s="28"/>
      <c r="D68" s="28"/>
      <c r="E68" s="21"/>
      <c r="F68" s="22"/>
      <c r="G68" s="45">
        <v>495170</v>
      </c>
    </row>
    <row r="69" spans="1:7" ht="24.75">
      <c r="A69" s="20" t="s">
        <v>74</v>
      </c>
      <c r="B69" s="28"/>
      <c r="C69" s="28"/>
      <c r="D69" s="28"/>
      <c r="E69" s="21"/>
      <c r="F69" s="22"/>
      <c r="G69" s="45">
        <v>1157700</v>
      </c>
    </row>
    <row r="70" spans="1:7" ht="24.75">
      <c r="A70" s="20" t="s">
        <v>75</v>
      </c>
      <c r="B70" s="28"/>
      <c r="C70" s="28"/>
      <c r="D70" s="28"/>
      <c r="E70" s="21"/>
      <c r="F70" s="22"/>
      <c r="G70" s="45">
        <v>22000</v>
      </c>
    </row>
    <row r="71" spans="1:9" ht="24.75">
      <c r="A71" s="20" t="s">
        <v>76</v>
      </c>
      <c r="B71" s="28"/>
      <c r="C71" s="28"/>
      <c r="D71" s="28"/>
      <c r="E71" s="21"/>
      <c r="F71" s="22"/>
      <c r="G71" s="45">
        <v>288000</v>
      </c>
      <c r="H71" s="38">
        <f>G66+G68+G69+G70+G71</f>
        <v>7446280</v>
      </c>
      <c r="I71" s="37">
        <f>G12+G33+G37+G46+G49+G64+H71</f>
        <v>29961760</v>
      </c>
    </row>
    <row r="72" spans="1:9" ht="24.75">
      <c r="A72" s="23"/>
      <c r="B72" s="34"/>
      <c r="C72" s="34"/>
      <c r="D72" s="34"/>
      <c r="E72" s="24"/>
      <c r="F72" s="25"/>
      <c r="G72" s="73"/>
      <c r="H72" s="38"/>
      <c r="I72" s="37"/>
    </row>
    <row r="73" spans="1:9" ht="24.75">
      <c r="A73" s="71" t="s">
        <v>109</v>
      </c>
      <c r="B73" s="67"/>
      <c r="C73" s="67"/>
      <c r="D73" s="67"/>
      <c r="E73" s="68"/>
      <c r="F73" s="69"/>
      <c r="G73" s="72"/>
      <c r="H73" s="38"/>
      <c r="I73" s="37"/>
    </row>
    <row r="74" spans="1:9" ht="24.75">
      <c r="A74" s="20" t="s">
        <v>77</v>
      </c>
      <c r="B74" s="28"/>
      <c r="C74" s="28"/>
      <c r="D74" s="28"/>
      <c r="E74" s="21"/>
      <c r="F74" s="22"/>
      <c r="G74" s="78">
        <f>2286940+30000</f>
        <v>2316940</v>
      </c>
      <c r="H74" s="48" t="s">
        <v>93</v>
      </c>
      <c r="I74" s="37">
        <f>G74+G75+G76+G77+G78</f>
        <v>16514640</v>
      </c>
    </row>
    <row r="75" spans="1:9" ht="24.75">
      <c r="A75" s="64" t="s">
        <v>78</v>
      </c>
      <c r="B75" s="26"/>
      <c r="C75" s="26"/>
      <c r="D75" s="26"/>
      <c r="E75" s="65"/>
      <c r="F75" s="27"/>
      <c r="G75" s="79">
        <v>10998000</v>
      </c>
      <c r="I75" s="37">
        <f>SUM(I71:I74)</f>
        <v>46476400</v>
      </c>
    </row>
    <row r="76" spans="1:7" ht="22.5">
      <c r="A76" s="33" t="s">
        <v>79</v>
      </c>
      <c r="B76" s="28"/>
      <c r="C76" s="28"/>
      <c r="D76" s="28"/>
      <c r="E76" s="21"/>
      <c r="F76" s="22"/>
      <c r="G76" s="78">
        <v>3091200</v>
      </c>
    </row>
    <row r="77" spans="1:9" ht="24.75">
      <c r="A77" s="20" t="s">
        <v>81</v>
      </c>
      <c r="B77" s="28"/>
      <c r="C77" s="28"/>
      <c r="D77" s="28"/>
      <c r="E77" s="21"/>
      <c r="F77" s="22"/>
      <c r="G77" s="45">
        <v>58500</v>
      </c>
      <c r="I77" s="87">
        <f>G71+G75+G76</f>
        <v>14377200</v>
      </c>
    </row>
    <row r="78" spans="1:7" ht="23.25">
      <c r="A78" s="63" t="s">
        <v>80</v>
      </c>
      <c r="B78" s="28"/>
      <c r="C78" s="28"/>
      <c r="D78" s="28"/>
      <c r="E78" s="21"/>
      <c r="F78" s="22"/>
      <c r="G78" s="45">
        <v>50000</v>
      </c>
    </row>
    <row r="79" spans="1:7" ht="23.25">
      <c r="A79" s="66"/>
      <c r="B79" s="67"/>
      <c r="C79" s="67"/>
      <c r="D79" s="67"/>
      <c r="E79" s="68"/>
      <c r="F79" s="69"/>
      <c r="G79" s="70"/>
    </row>
    <row r="80" spans="1:7" ht="25.5" thickBot="1">
      <c r="A80" s="5" t="s">
        <v>56</v>
      </c>
      <c r="B80" s="11">
        <f>SUM(B66:B67)</f>
        <v>9478566</v>
      </c>
      <c r="C80" s="11">
        <f>SUM(C66:C67)</f>
        <v>9090493</v>
      </c>
      <c r="D80" s="11">
        <f>SUM(D66:D67)</f>
        <v>9554987</v>
      </c>
      <c r="E80" s="12">
        <f>SUM(E66:E67)</f>
        <v>8998535</v>
      </c>
      <c r="F80" s="13">
        <f>(E80-G80)*100/E80</f>
        <v>-166.27578822552783</v>
      </c>
      <c r="G80" s="11">
        <f>SUM(G66:G78)</f>
        <v>23960920</v>
      </c>
    </row>
    <row r="81" spans="1:7" ht="26.25" thickBot="1" thickTop="1">
      <c r="A81" s="5" t="s">
        <v>57</v>
      </c>
      <c r="B81" s="15">
        <f>B12+B33+B37+B46+B64+B80</f>
        <v>26739089.53</v>
      </c>
      <c r="C81" s="15">
        <f>C12+C33+C37+C46+C64+C80</f>
        <v>31450965.650000002</v>
      </c>
      <c r="D81" s="15">
        <f>D12+D33+D37+D46+D64+D80</f>
        <v>28975131.39</v>
      </c>
      <c r="E81" s="15">
        <f>E12+E33+E37+E46+E64+E80</f>
        <v>31668998.38</v>
      </c>
      <c r="F81" s="16">
        <f>(E81-G81)*100/E81</f>
        <v>-46.756772798192934</v>
      </c>
      <c r="G81" s="15">
        <f>G12+G33+G37+G46+G64+G80+G49</f>
        <v>46476400</v>
      </c>
    </row>
    <row r="82" spans="1:7" ht="24.75">
      <c r="A82" s="1"/>
      <c r="B82" s="1"/>
      <c r="C82" s="1"/>
      <c r="D82" s="1"/>
      <c r="E82" s="1"/>
      <c r="F82" s="1"/>
      <c r="G82" s="1"/>
    </row>
    <row r="83" spans="1:7" ht="24.75">
      <c r="A83" s="1"/>
      <c r="B83" s="1"/>
      <c r="C83" s="1"/>
      <c r="D83" s="1"/>
      <c r="E83" s="39"/>
      <c r="F83" s="39" t="s">
        <v>82</v>
      </c>
      <c r="G83" s="40">
        <f>G12+G33+G37+G46+G49+G64</f>
        <v>22515480</v>
      </c>
    </row>
    <row r="84" spans="1:7" ht="24.75">
      <c r="A84" s="1"/>
      <c r="B84" s="1"/>
      <c r="C84" s="1"/>
      <c r="D84" s="1"/>
      <c r="E84" s="39"/>
      <c r="F84" s="55" t="s">
        <v>83</v>
      </c>
      <c r="G84" s="53">
        <f>H71</f>
        <v>7446280</v>
      </c>
    </row>
    <row r="85" spans="1:7" ht="24.75">
      <c r="A85" s="1"/>
      <c r="B85" s="1"/>
      <c r="C85" s="1"/>
      <c r="D85" s="1"/>
      <c r="E85" s="39"/>
      <c r="F85" s="41" t="s">
        <v>84</v>
      </c>
      <c r="G85" s="42">
        <f>SUM(G83:G84)</f>
        <v>29961760</v>
      </c>
    </row>
    <row r="86" spans="1:7" ht="24.75">
      <c r="A86" s="1"/>
      <c r="B86" s="1"/>
      <c r="C86" s="1"/>
      <c r="D86" s="1"/>
      <c r="E86" s="56"/>
      <c r="F86" s="57" t="s">
        <v>85</v>
      </c>
      <c r="G86" s="54">
        <f>G74+G75+G76+G77+G78</f>
        <v>16514640</v>
      </c>
    </row>
    <row r="87" spans="1:7" ht="24.75">
      <c r="A87" s="1"/>
      <c r="B87" s="1"/>
      <c r="C87" s="1"/>
      <c r="D87" s="1"/>
      <c r="E87" s="39"/>
      <c r="F87" s="41" t="s">
        <v>86</v>
      </c>
      <c r="G87" s="42">
        <f>SUM(G85:G86)</f>
        <v>46476400</v>
      </c>
    </row>
  </sheetData>
  <sheetProtection/>
  <mergeCells count="11">
    <mergeCell ref="B6:B7"/>
    <mergeCell ref="C6:C7"/>
    <mergeCell ref="D6:D7"/>
    <mergeCell ref="E6:E7"/>
    <mergeCell ref="G6:G7"/>
    <mergeCell ref="A1:G1"/>
    <mergeCell ref="A2:G2"/>
    <mergeCell ref="A3:G3"/>
    <mergeCell ref="A4:G4"/>
    <mergeCell ref="B5:E5"/>
    <mergeCell ref="F5:G5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3">
      <selection activeCell="G26" sqref="G26"/>
    </sheetView>
  </sheetViews>
  <sheetFormatPr defaultColWidth="9.140625" defaultRowHeight="15"/>
  <cols>
    <col min="1" max="1" width="67.421875" style="49" customWidth="1"/>
    <col min="2" max="2" width="17.421875" style="49" customWidth="1"/>
    <col min="3" max="3" width="9.00390625" style="49" customWidth="1"/>
    <col min="4" max="4" width="15.8515625" style="49" bestFit="1" customWidth="1"/>
    <col min="5" max="16384" width="9.00390625" style="49" customWidth="1"/>
  </cols>
  <sheetData>
    <row r="1" spans="1:2" ht="22.5" customHeight="1">
      <c r="A1" s="92" t="s">
        <v>53</v>
      </c>
      <c r="B1" s="93"/>
    </row>
    <row r="2" spans="1:2" ht="22.5" customHeight="1">
      <c r="A2" s="94" t="s">
        <v>117</v>
      </c>
      <c r="B2" s="95">
        <v>5683390</v>
      </c>
    </row>
    <row r="3" spans="1:2" ht="20.25">
      <c r="A3" s="94" t="s">
        <v>118</v>
      </c>
      <c r="B3" s="95">
        <f>B4+B5</f>
        <v>497250</v>
      </c>
    </row>
    <row r="4" spans="1:2" ht="20.25">
      <c r="A4" s="33" t="s">
        <v>130</v>
      </c>
      <c r="B4" s="96">
        <f>158*7.5*260</f>
        <v>308100</v>
      </c>
    </row>
    <row r="5" spans="1:2" ht="20.25">
      <c r="A5" s="33" t="s">
        <v>124</v>
      </c>
      <c r="B5" s="96">
        <f>97*7.5*260</f>
        <v>189150</v>
      </c>
    </row>
    <row r="6" spans="1:2" ht="20.25">
      <c r="A6" s="94" t="s">
        <v>119</v>
      </c>
      <c r="B6" s="95">
        <f>B7+B8</f>
        <v>1107300</v>
      </c>
    </row>
    <row r="7" spans="1:2" ht="20.25">
      <c r="A7" s="33" t="s">
        <v>126</v>
      </c>
      <c r="B7" s="96">
        <f>158*20*200</f>
        <v>632000</v>
      </c>
    </row>
    <row r="8" spans="1:2" ht="20.25">
      <c r="A8" s="33" t="s">
        <v>127</v>
      </c>
      <c r="B8" s="96">
        <f>97*20*245</f>
        <v>475300</v>
      </c>
    </row>
    <row r="9" spans="1:2" ht="20.25">
      <c r="A9" s="94" t="s">
        <v>120</v>
      </c>
      <c r="B9" s="95">
        <f>B10</f>
        <v>20000</v>
      </c>
    </row>
    <row r="10" spans="1:2" ht="20.25">
      <c r="A10" s="33" t="s">
        <v>125</v>
      </c>
      <c r="B10" s="96">
        <v>20000</v>
      </c>
    </row>
    <row r="11" spans="1:2" ht="20.25">
      <c r="A11" s="94" t="s">
        <v>116</v>
      </c>
      <c r="B11" s="95">
        <f>B12</f>
        <v>300000</v>
      </c>
    </row>
    <row r="12" spans="1:2" ht="20.25">
      <c r="A12" s="97" t="s">
        <v>147</v>
      </c>
      <c r="B12" s="96">
        <f>50*500*12</f>
        <v>300000</v>
      </c>
    </row>
    <row r="13" spans="1:2" ht="20.25">
      <c r="A13" s="94" t="s">
        <v>121</v>
      </c>
      <c r="B13" s="95">
        <f>SUM(B15:B30)</f>
        <v>2242380</v>
      </c>
    </row>
    <row r="14" spans="1:2" ht="20.25">
      <c r="A14" s="94" t="s">
        <v>133</v>
      </c>
      <c r="B14" s="96"/>
    </row>
    <row r="15" spans="1:2" ht="20.25">
      <c r="A15" s="33" t="s">
        <v>144</v>
      </c>
      <c r="B15" s="96">
        <f>23360*12</f>
        <v>280320</v>
      </c>
    </row>
    <row r="16" spans="1:2" ht="20.25">
      <c r="A16" s="33" t="s">
        <v>145</v>
      </c>
      <c r="B16" s="96">
        <f>22890*12</f>
        <v>274680</v>
      </c>
    </row>
    <row r="17" spans="1:2" ht="20.25">
      <c r="A17" s="33" t="s">
        <v>131</v>
      </c>
      <c r="B17" s="96">
        <f>23360*12</f>
        <v>280320</v>
      </c>
    </row>
    <row r="18" spans="1:2" ht="20.25">
      <c r="A18" s="33" t="s">
        <v>146</v>
      </c>
      <c r="B18" s="96">
        <f>22450*12</f>
        <v>269400</v>
      </c>
    </row>
    <row r="19" spans="1:2" ht="20.25">
      <c r="A19" s="94" t="s">
        <v>137</v>
      </c>
      <c r="B19" s="96"/>
    </row>
    <row r="20" spans="1:2" ht="20.25">
      <c r="A20" s="97" t="s">
        <v>88</v>
      </c>
      <c r="B20" s="96">
        <f>15000*12</f>
        <v>180000</v>
      </c>
    </row>
    <row r="21" spans="1:2" ht="20.25">
      <c r="A21" s="97" t="s">
        <v>89</v>
      </c>
      <c r="B21" s="96">
        <f>15000*12</f>
        <v>180000</v>
      </c>
    </row>
    <row r="22" spans="1:2" ht="20.25">
      <c r="A22" s="97" t="s">
        <v>90</v>
      </c>
      <c r="B22" s="96">
        <f>9400*12</f>
        <v>112800</v>
      </c>
    </row>
    <row r="23" spans="1:2" ht="20.25">
      <c r="A23" s="97" t="s">
        <v>91</v>
      </c>
      <c r="B23" s="96">
        <f>9400*12</f>
        <v>112800</v>
      </c>
    </row>
    <row r="24" spans="1:2" ht="20.25">
      <c r="A24" s="97" t="s">
        <v>92</v>
      </c>
      <c r="B24" s="96">
        <f>9400*12</f>
        <v>112800</v>
      </c>
    </row>
    <row r="25" spans="1:4" ht="20.25">
      <c r="A25" s="97" t="s">
        <v>129</v>
      </c>
      <c r="B25" s="96">
        <f>9400*12</f>
        <v>112800</v>
      </c>
      <c r="D25" s="86">
        <f>SUM(B20:B25)</f>
        <v>811200</v>
      </c>
    </row>
    <row r="26" spans="1:4" ht="20.25">
      <c r="A26" s="98" t="s">
        <v>138</v>
      </c>
      <c r="B26" s="96">
        <f>2000*4*12</f>
        <v>96000</v>
      </c>
      <c r="D26" s="86"/>
    </row>
    <row r="27" spans="1:2" ht="20.25">
      <c r="A27" s="98" t="s">
        <v>139</v>
      </c>
      <c r="B27" s="96">
        <f>811200*5%</f>
        <v>40560</v>
      </c>
    </row>
    <row r="28" spans="1:2" ht="20.25">
      <c r="A28" s="98" t="s">
        <v>134</v>
      </c>
      <c r="B28" s="96">
        <v>10000</v>
      </c>
    </row>
    <row r="29" spans="1:2" ht="20.25">
      <c r="A29" s="98" t="s">
        <v>135</v>
      </c>
      <c r="B29" s="96">
        <f>97*1700</f>
        <v>164900</v>
      </c>
    </row>
    <row r="30" spans="1:2" ht="20.25">
      <c r="A30" s="98" t="s">
        <v>136</v>
      </c>
      <c r="B30" s="96">
        <v>15000</v>
      </c>
    </row>
    <row r="31" spans="1:2" ht="20.25">
      <c r="A31" s="94" t="s">
        <v>132</v>
      </c>
      <c r="B31" s="95">
        <f>B32+B33+B34+B35</f>
        <v>11299200</v>
      </c>
    </row>
    <row r="32" spans="1:2" ht="20.25">
      <c r="A32" s="33" t="s">
        <v>149</v>
      </c>
      <c r="B32" s="96">
        <f>844*600*12</f>
        <v>6076800</v>
      </c>
    </row>
    <row r="33" spans="1:2" ht="20.25">
      <c r="A33" s="33" t="s">
        <v>150</v>
      </c>
      <c r="B33" s="96">
        <f>330*700*12</f>
        <v>2772000</v>
      </c>
    </row>
    <row r="34" spans="1:2" ht="20.25">
      <c r="A34" s="33" t="s">
        <v>151</v>
      </c>
      <c r="B34" s="96">
        <f>209*800*12</f>
        <v>2006400</v>
      </c>
    </row>
    <row r="35" spans="1:2" ht="20.25">
      <c r="A35" s="33" t="s">
        <v>152</v>
      </c>
      <c r="B35" s="96">
        <f>37*1000*12</f>
        <v>444000</v>
      </c>
    </row>
    <row r="36" spans="1:2" ht="20.25">
      <c r="A36" s="94" t="s">
        <v>140</v>
      </c>
      <c r="B36" s="95">
        <f>B37</f>
        <v>3283200</v>
      </c>
    </row>
    <row r="37" spans="1:4" ht="20.25">
      <c r="A37" s="33" t="s">
        <v>148</v>
      </c>
      <c r="B37" s="96">
        <f>342*800*12</f>
        <v>3283200</v>
      </c>
      <c r="D37" s="86">
        <f>B11+B31+B36</f>
        <v>14882400</v>
      </c>
    </row>
    <row r="38" spans="1:4" ht="20.25">
      <c r="A38" s="94" t="s">
        <v>122</v>
      </c>
      <c r="B38" s="96">
        <v>58500</v>
      </c>
      <c r="D38" s="86"/>
    </row>
    <row r="39" spans="1:2" ht="20.25">
      <c r="A39" s="91" t="s">
        <v>123</v>
      </c>
      <c r="B39" s="90">
        <v>50000</v>
      </c>
    </row>
    <row r="40" spans="1:2" ht="22.5">
      <c r="A40" s="51" t="s">
        <v>94</v>
      </c>
      <c r="B40" s="50">
        <f>B2+B3+B6+B9+B11+B13+B31+B36+B38+B39</f>
        <v>24541220</v>
      </c>
    </row>
    <row r="41" spans="1:2" ht="20.25" customHeight="1">
      <c r="A41" s="51" t="s">
        <v>128</v>
      </c>
      <c r="B41" s="52">
        <v>46476400</v>
      </c>
    </row>
    <row r="42" spans="1:2" ht="20.25" customHeight="1">
      <c r="A42" s="51" t="s">
        <v>95</v>
      </c>
      <c r="B42" s="52">
        <f>B41-B40</f>
        <v>21935180</v>
      </c>
    </row>
    <row r="44" ht="16.5">
      <c r="D44" s="49">
        <v>18997970</v>
      </c>
    </row>
  </sheetData>
  <sheetProtection/>
  <printOptions/>
  <pageMargins left="0.2362204724409449" right="0.2362204724409449" top="0.15748031496062992" bottom="0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6.28125" style="60" customWidth="1"/>
    <col min="2" max="2" width="65.421875" style="1" customWidth="1"/>
    <col min="3" max="3" width="16.140625" style="1" customWidth="1"/>
    <col min="4" max="6" width="9.00390625" style="1" customWidth="1"/>
    <col min="7" max="7" width="15.140625" style="1" bestFit="1" customWidth="1"/>
    <col min="8" max="16384" width="9.00390625" style="1" customWidth="1"/>
  </cols>
  <sheetData>
    <row r="1" spans="1:3" ht="24.75">
      <c r="A1" s="208" t="s">
        <v>172</v>
      </c>
      <c r="B1" s="208"/>
      <c r="C1" s="208"/>
    </row>
    <row r="2" spans="1:3" ht="24.75">
      <c r="A2" s="209" t="s">
        <v>97</v>
      </c>
      <c r="B2" s="209"/>
      <c r="C2" s="209"/>
    </row>
    <row r="3" spans="1:3" ht="24.75">
      <c r="A3" s="59" t="s">
        <v>100</v>
      </c>
      <c r="B3" s="59" t="s">
        <v>98</v>
      </c>
      <c r="C3" s="59" t="s">
        <v>99</v>
      </c>
    </row>
    <row r="4" spans="1:3" ht="24.75">
      <c r="A4" s="77"/>
      <c r="B4" s="29" t="s">
        <v>110</v>
      </c>
      <c r="C4" s="77"/>
    </row>
    <row r="5" spans="1:3" ht="24.75">
      <c r="A5" s="74">
        <v>1</v>
      </c>
      <c r="B5" s="75" t="s">
        <v>108</v>
      </c>
      <c r="C5" s="76">
        <v>5683390</v>
      </c>
    </row>
    <row r="6" spans="1:3" ht="24.75">
      <c r="A6" s="61">
        <v>2</v>
      </c>
      <c r="B6" s="20" t="s">
        <v>101</v>
      </c>
      <c r="C6" s="62">
        <v>497250</v>
      </c>
    </row>
    <row r="7" spans="1:3" ht="24.75">
      <c r="A7" s="61">
        <v>3</v>
      </c>
      <c r="B7" s="20" t="s">
        <v>102</v>
      </c>
      <c r="C7" s="62">
        <f>Sheet1!B6</f>
        <v>1107300</v>
      </c>
    </row>
    <row r="8" spans="1:3" ht="24.75">
      <c r="A8" s="61">
        <v>4</v>
      </c>
      <c r="B8" s="20" t="s">
        <v>103</v>
      </c>
      <c r="C8" s="62">
        <f>Sheet1!B9</f>
        <v>20000</v>
      </c>
    </row>
    <row r="9" spans="1:3" ht="24.75">
      <c r="A9" s="61">
        <v>5</v>
      </c>
      <c r="B9" s="20" t="s">
        <v>104</v>
      </c>
      <c r="C9" s="81">
        <f>Sheet1!B11</f>
        <v>300000</v>
      </c>
    </row>
    <row r="10" spans="1:3" ht="24.75">
      <c r="A10" s="61">
        <v>6</v>
      </c>
      <c r="B10" s="20" t="s">
        <v>111</v>
      </c>
      <c r="C10" s="62">
        <v>2247180</v>
      </c>
    </row>
    <row r="11" spans="1:7" ht="24.75">
      <c r="A11" s="61">
        <v>7</v>
      </c>
      <c r="B11" s="20" t="s">
        <v>112</v>
      </c>
      <c r="C11" s="62">
        <v>11163600</v>
      </c>
      <c r="G11" s="37">
        <f>C9+C11+C12</f>
        <v>14746800</v>
      </c>
    </row>
    <row r="12" spans="1:3" ht="24.75">
      <c r="A12" s="61">
        <v>8</v>
      </c>
      <c r="B12" s="20" t="s">
        <v>105</v>
      </c>
      <c r="C12" s="62">
        <v>3283200</v>
      </c>
    </row>
    <row r="13" spans="1:3" ht="24.75">
      <c r="A13" s="61">
        <v>9</v>
      </c>
      <c r="B13" s="20" t="s">
        <v>106</v>
      </c>
      <c r="C13" s="62">
        <v>58000</v>
      </c>
    </row>
    <row r="14" spans="1:3" ht="24.75">
      <c r="A14" s="61">
        <v>10</v>
      </c>
      <c r="B14" s="20" t="s">
        <v>107</v>
      </c>
      <c r="C14" s="81">
        <v>50000</v>
      </c>
    </row>
    <row r="15" spans="1:3" ht="24.75">
      <c r="A15" s="58"/>
      <c r="B15" s="5" t="s">
        <v>86</v>
      </c>
      <c r="C15" s="103">
        <f>SUM(C5:C14)</f>
        <v>24409920</v>
      </c>
    </row>
  </sheetData>
  <sheetProtection/>
  <mergeCells count="2">
    <mergeCell ref="A1:C1"/>
    <mergeCell ref="A2:C2"/>
  </mergeCells>
  <printOptions/>
  <pageMargins left="0.6299212598425197" right="0.2362204724409449" top="0.7480314960629921" bottom="0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I8" sqref="I8"/>
    </sheetView>
  </sheetViews>
  <sheetFormatPr defaultColWidth="9.140625" defaultRowHeight="15"/>
  <cols>
    <col min="1" max="1" width="6.28125" style="60" customWidth="1"/>
    <col min="2" max="2" width="65.421875" style="1" customWidth="1"/>
    <col min="3" max="3" width="16.140625" style="1" customWidth="1"/>
    <col min="4" max="4" width="15.28125" style="1" customWidth="1"/>
    <col min="5" max="5" width="14.8515625" style="1" customWidth="1"/>
    <col min="6" max="6" width="16.00390625" style="1" customWidth="1"/>
    <col min="7" max="16384" width="9.00390625" style="1" customWidth="1"/>
  </cols>
  <sheetData>
    <row r="1" spans="1:6" ht="24.75">
      <c r="A1" s="208" t="s">
        <v>96</v>
      </c>
      <c r="B1" s="208"/>
      <c r="C1" s="208"/>
      <c r="D1" s="208"/>
      <c r="E1" s="208"/>
      <c r="F1" s="208"/>
    </row>
    <row r="2" spans="1:6" ht="24.75">
      <c r="A2" s="209" t="s">
        <v>97</v>
      </c>
      <c r="B2" s="209"/>
      <c r="C2" s="209"/>
      <c r="D2" s="209"/>
      <c r="E2" s="209"/>
      <c r="F2" s="209"/>
    </row>
    <row r="3" spans="1:6" ht="24.75">
      <c r="A3" s="59" t="s">
        <v>100</v>
      </c>
      <c r="B3" s="59" t="s">
        <v>98</v>
      </c>
      <c r="C3" s="59" t="s">
        <v>99</v>
      </c>
      <c r="D3" s="59" t="s">
        <v>142</v>
      </c>
      <c r="E3" s="59" t="s">
        <v>141</v>
      </c>
      <c r="F3" s="59" t="s">
        <v>115</v>
      </c>
    </row>
    <row r="4" spans="1:6" ht="24.75">
      <c r="A4" s="77"/>
      <c r="B4" s="29" t="s">
        <v>110</v>
      </c>
      <c r="C4" s="77"/>
      <c r="D4" s="100"/>
      <c r="E4" s="100"/>
      <c r="F4" s="80"/>
    </row>
    <row r="5" spans="1:6" ht="24.75">
      <c r="A5" s="74">
        <v>1</v>
      </c>
      <c r="B5" s="75" t="s">
        <v>108</v>
      </c>
      <c r="C5" s="76">
        <v>5483410</v>
      </c>
      <c r="D5" s="62">
        <v>5683387</v>
      </c>
      <c r="E5" s="101">
        <f>D5-C5</f>
        <v>199977</v>
      </c>
      <c r="F5" s="62">
        <v>5683390</v>
      </c>
    </row>
    <row r="6" spans="1:6" ht="24.75">
      <c r="A6" s="61">
        <v>2</v>
      </c>
      <c r="B6" s="20" t="s">
        <v>101</v>
      </c>
      <c r="C6" s="62">
        <v>495170</v>
      </c>
      <c r="D6" s="62">
        <f>162398+234254</f>
        <v>396652</v>
      </c>
      <c r="E6" s="101">
        <f aca="true" t="shared" si="0" ref="E6:E14">D6-C6</f>
        <v>-98518</v>
      </c>
      <c r="F6" s="62">
        <v>497250</v>
      </c>
    </row>
    <row r="7" spans="1:6" ht="24.75">
      <c r="A7" s="61">
        <v>3</v>
      </c>
      <c r="B7" s="20" t="s">
        <v>102</v>
      </c>
      <c r="C7" s="62">
        <v>1157700</v>
      </c>
      <c r="D7" s="62">
        <f>418100+489000</f>
        <v>907100</v>
      </c>
      <c r="E7" s="101">
        <f t="shared" si="0"/>
        <v>-250600</v>
      </c>
      <c r="F7" s="62">
        <v>1107300</v>
      </c>
    </row>
    <row r="8" spans="1:6" ht="24.75">
      <c r="A8" s="61">
        <v>4</v>
      </c>
      <c r="B8" s="20" t="s">
        <v>103</v>
      </c>
      <c r="C8" s="62">
        <v>22000</v>
      </c>
      <c r="D8" s="62"/>
      <c r="E8" s="101">
        <f t="shared" si="0"/>
        <v>-22000</v>
      </c>
      <c r="F8" s="62">
        <v>20000</v>
      </c>
    </row>
    <row r="9" spans="1:6" ht="24.75">
      <c r="A9" s="61">
        <v>5</v>
      </c>
      <c r="B9" s="20" t="s">
        <v>104</v>
      </c>
      <c r="C9" s="62">
        <v>288000</v>
      </c>
      <c r="D9" s="62">
        <f>216000+72000</f>
        <v>288000</v>
      </c>
      <c r="E9" s="101">
        <f t="shared" si="0"/>
        <v>0</v>
      </c>
      <c r="F9" s="62">
        <v>300000</v>
      </c>
    </row>
    <row r="10" spans="1:6" ht="24.75">
      <c r="A10" s="61">
        <v>6</v>
      </c>
      <c r="B10" s="20" t="s">
        <v>111</v>
      </c>
      <c r="C10" s="62">
        <v>2316940</v>
      </c>
      <c r="D10" s="62">
        <f>2022030+30000+192100</f>
        <v>2244130</v>
      </c>
      <c r="E10" s="101">
        <f t="shared" si="0"/>
        <v>-72810</v>
      </c>
      <c r="F10" s="62">
        <v>2259780</v>
      </c>
    </row>
    <row r="11" spans="1:6" ht="24.75">
      <c r="A11" s="61">
        <v>7</v>
      </c>
      <c r="B11" s="20" t="s">
        <v>112</v>
      </c>
      <c r="C11" s="62">
        <v>10998000</v>
      </c>
      <c r="D11" s="62">
        <f>7846200+2615400</f>
        <v>10461600</v>
      </c>
      <c r="E11" s="101">
        <f t="shared" si="0"/>
        <v>-536400</v>
      </c>
      <c r="F11" s="62">
        <v>11370000</v>
      </c>
    </row>
    <row r="12" spans="1:6" ht="24.75">
      <c r="A12" s="61">
        <v>8</v>
      </c>
      <c r="B12" s="20" t="s">
        <v>105</v>
      </c>
      <c r="C12" s="62">
        <v>3091200</v>
      </c>
      <c r="D12" s="62">
        <f>1980000+660000</f>
        <v>2640000</v>
      </c>
      <c r="E12" s="101">
        <f t="shared" si="0"/>
        <v>-451200</v>
      </c>
      <c r="F12" s="62">
        <v>3283200</v>
      </c>
    </row>
    <row r="13" spans="1:6" ht="24.75">
      <c r="A13" s="61">
        <v>9</v>
      </c>
      <c r="B13" s="20" t="s">
        <v>106</v>
      </c>
      <c r="C13" s="62">
        <v>58500</v>
      </c>
      <c r="D13" s="62">
        <v>0</v>
      </c>
      <c r="E13" s="101">
        <f t="shared" si="0"/>
        <v>-58500</v>
      </c>
      <c r="F13" s="62">
        <v>58500</v>
      </c>
    </row>
    <row r="14" spans="1:6" ht="24.75">
      <c r="A14" s="61">
        <v>10</v>
      </c>
      <c r="B14" s="20" t="s">
        <v>107</v>
      </c>
      <c r="C14" s="99">
        <v>50000</v>
      </c>
      <c r="D14" s="81">
        <v>0</v>
      </c>
      <c r="E14" s="102">
        <f t="shared" si="0"/>
        <v>-50000</v>
      </c>
      <c r="F14" s="81">
        <v>50000</v>
      </c>
    </row>
    <row r="15" spans="1:6" ht="24.75">
      <c r="A15" s="58"/>
      <c r="B15" s="5" t="s">
        <v>86</v>
      </c>
      <c r="C15" s="82">
        <f>SUM(C5:C14)</f>
        <v>23960920</v>
      </c>
      <c r="D15" s="103">
        <f>SUM(D5:D14)</f>
        <v>22620869</v>
      </c>
      <c r="E15" s="104">
        <f>SUM(E5:E14)</f>
        <v>-1340051</v>
      </c>
      <c r="F15" s="103">
        <f>SUM(F5:F14)</f>
        <v>24629420</v>
      </c>
    </row>
    <row r="16" spans="5:6" ht="24.75">
      <c r="E16" s="105" t="s">
        <v>143</v>
      </c>
      <c r="F16" s="106">
        <v>22445080</v>
      </c>
    </row>
    <row r="17" spans="5:6" ht="25.5" thickBot="1">
      <c r="E17" s="105" t="s">
        <v>86</v>
      </c>
      <c r="F17" s="107">
        <f>SUM(F15:F16)</f>
        <v>47074500</v>
      </c>
    </row>
    <row r="18" ht="25.5" thickTop="1"/>
  </sheetData>
  <sheetProtection/>
  <mergeCells count="2">
    <mergeCell ref="A1:F1"/>
    <mergeCell ref="A2:F2"/>
  </mergeCells>
  <printOptions/>
  <pageMargins left="0.31496062992125984" right="0.11811023622047245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2">
      <selection activeCell="B20" sqref="B20"/>
    </sheetView>
  </sheetViews>
  <sheetFormatPr defaultColWidth="9.140625" defaultRowHeight="15"/>
  <cols>
    <col min="1" max="1" width="5.421875" style="128" customWidth="1"/>
    <col min="2" max="2" width="64.00390625" style="108" customWidth="1"/>
    <col min="3" max="3" width="15.421875" style="108" customWidth="1"/>
    <col min="4" max="4" width="15.8515625" style="108" customWidth="1"/>
    <col min="5" max="5" width="16.140625" style="108" customWidth="1"/>
    <col min="6" max="6" width="17.57421875" style="108" customWidth="1"/>
    <col min="7" max="8" width="9.00390625" style="108" customWidth="1"/>
    <col min="9" max="9" width="11.7109375" style="108" bestFit="1" customWidth="1"/>
    <col min="10" max="16384" width="9.00390625" style="108" customWidth="1"/>
  </cols>
  <sheetData>
    <row r="1" spans="1:6" ht="23.25">
      <c r="A1" s="210" t="s">
        <v>96</v>
      </c>
      <c r="B1" s="210"/>
      <c r="C1" s="210"/>
      <c r="D1" s="210"/>
      <c r="E1" s="210"/>
      <c r="F1" s="210"/>
    </row>
    <row r="2" spans="1:6" ht="23.25">
      <c r="A2" s="211" t="s">
        <v>97</v>
      </c>
      <c r="B2" s="211"/>
      <c r="C2" s="211"/>
      <c r="D2" s="211"/>
      <c r="E2" s="211"/>
      <c r="F2" s="211"/>
    </row>
    <row r="3" spans="1:6" ht="23.25">
      <c r="A3" s="109" t="s">
        <v>100</v>
      </c>
      <c r="B3" s="109" t="s">
        <v>98</v>
      </c>
      <c r="C3" s="109" t="s">
        <v>153</v>
      </c>
      <c r="D3" s="109" t="s">
        <v>154</v>
      </c>
      <c r="E3" s="109" t="s">
        <v>141</v>
      </c>
      <c r="F3" s="109" t="s">
        <v>115</v>
      </c>
    </row>
    <row r="4" spans="1:6" ht="23.25">
      <c r="A4" s="110"/>
      <c r="B4" s="111" t="s">
        <v>110</v>
      </c>
      <c r="C4" s="110"/>
      <c r="D4" s="112"/>
      <c r="E4" s="112"/>
      <c r="F4" s="113"/>
    </row>
    <row r="5" spans="1:6" ht="23.25">
      <c r="A5" s="114">
        <v>1</v>
      </c>
      <c r="B5" s="115" t="s">
        <v>108</v>
      </c>
      <c r="C5" s="116">
        <v>5483410</v>
      </c>
      <c r="D5" s="117">
        <v>5683387</v>
      </c>
      <c r="E5" s="118">
        <f>D5-C5</f>
        <v>199977</v>
      </c>
      <c r="F5" s="117">
        <v>5683390</v>
      </c>
    </row>
    <row r="6" spans="1:6" ht="23.25">
      <c r="A6" s="119">
        <v>2</v>
      </c>
      <c r="B6" s="63" t="s">
        <v>101</v>
      </c>
      <c r="C6" s="117">
        <v>495170</v>
      </c>
      <c r="D6" s="117">
        <f>162398+234254+75693+54133</f>
        <v>526478</v>
      </c>
      <c r="E6" s="118">
        <f aca="true" t="shared" si="0" ref="E6:E14">D6-C6</f>
        <v>31308</v>
      </c>
      <c r="F6" s="117">
        <v>497250</v>
      </c>
    </row>
    <row r="7" spans="1:6" ht="23.25">
      <c r="A7" s="119">
        <v>3</v>
      </c>
      <c r="B7" s="63" t="s">
        <v>102</v>
      </c>
      <c r="C7" s="117">
        <v>1157700</v>
      </c>
      <c r="D7" s="117">
        <f>418100+489000+158000+135600</f>
        <v>1200700</v>
      </c>
      <c r="E7" s="118">
        <f t="shared" si="0"/>
        <v>43000</v>
      </c>
      <c r="F7" s="117">
        <v>1107300</v>
      </c>
    </row>
    <row r="8" spans="1:6" ht="23.25">
      <c r="A8" s="119">
        <v>4</v>
      </c>
      <c r="B8" s="63" t="s">
        <v>103</v>
      </c>
      <c r="C8" s="117">
        <v>22000</v>
      </c>
      <c r="D8" s="117"/>
      <c r="E8" s="118">
        <f t="shared" si="0"/>
        <v>-22000</v>
      </c>
      <c r="F8" s="117">
        <v>20000</v>
      </c>
    </row>
    <row r="9" spans="1:6" ht="23.25">
      <c r="A9" s="119">
        <v>5</v>
      </c>
      <c r="B9" s="63" t="s">
        <v>104</v>
      </c>
      <c r="C9" s="117">
        <v>288000</v>
      </c>
      <c r="D9" s="117">
        <f>216000+72000</f>
        <v>288000</v>
      </c>
      <c r="E9" s="118">
        <f t="shared" si="0"/>
        <v>0</v>
      </c>
      <c r="F9" s="117">
        <v>300000</v>
      </c>
    </row>
    <row r="10" spans="1:6" ht="23.25">
      <c r="A10" s="119">
        <v>6</v>
      </c>
      <c r="B10" s="63" t="s">
        <v>111</v>
      </c>
      <c r="C10" s="117">
        <v>2316940</v>
      </c>
      <c r="D10" s="117">
        <v>2747380</v>
      </c>
      <c r="E10" s="118">
        <f t="shared" si="0"/>
        <v>430440</v>
      </c>
      <c r="F10" s="117">
        <v>2247180</v>
      </c>
    </row>
    <row r="11" spans="1:6" ht="23.25">
      <c r="A11" s="119">
        <v>7</v>
      </c>
      <c r="B11" s="63" t="s">
        <v>112</v>
      </c>
      <c r="C11" s="117">
        <v>10998000</v>
      </c>
      <c r="D11" s="117">
        <f>7846200+2615400</f>
        <v>10461600</v>
      </c>
      <c r="E11" s="118">
        <f t="shared" si="0"/>
        <v>-536400</v>
      </c>
      <c r="F11" s="117">
        <v>11163600</v>
      </c>
    </row>
    <row r="12" spans="1:6" ht="23.25">
      <c r="A12" s="119">
        <v>8</v>
      </c>
      <c r="B12" s="63" t="s">
        <v>105</v>
      </c>
      <c r="C12" s="117">
        <v>3091200</v>
      </c>
      <c r="D12" s="117">
        <f>1980000+660000</f>
        <v>2640000</v>
      </c>
      <c r="E12" s="118">
        <f t="shared" si="0"/>
        <v>-451200</v>
      </c>
      <c r="F12" s="117">
        <v>3283200</v>
      </c>
    </row>
    <row r="13" spans="1:6" ht="23.25">
      <c r="A13" s="119">
        <v>9</v>
      </c>
      <c r="B13" s="63" t="s">
        <v>106</v>
      </c>
      <c r="C13" s="117">
        <v>58500</v>
      </c>
      <c r="D13" s="117">
        <v>0</v>
      </c>
      <c r="E13" s="118">
        <f t="shared" si="0"/>
        <v>-58500</v>
      </c>
      <c r="F13" s="117">
        <v>58000</v>
      </c>
    </row>
    <row r="14" spans="1:6" ht="23.25">
      <c r="A14" s="119">
        <v>10</v>
      </c>
      <c r="B14" s="63" t="s">
        <v>107</v>
      </c>
      <c r="C14" s="120">
        <v>50000</v>
      </c>
      <c r="D14" s="121">
        <v>0</v>
      </c>
      <c r="E14" s="122">
        <f t="shared" si="0"/>
        <v>-50000</v>
      </c>
      <c r="F14" s="121">
        <v>50000</v>
      </c>
    </row>
    <row r="15" spans="1:6" ht="23.25">
      <c r="A15" s="123"/>
      <c r="B15" s="124" t="s">
        <v>86</v>
      </c>
      <c r="C15" s="125">
        <f>SUM(C5:C14)</f>
        <v>23960920</v>
      </c>
      <c r="D15" s="126">
        <f>SUM(D5:D14)</f>
        <v>23547545</v>
      </c>
      <c r="E15" s="127">
        <f>SUM(E5:E14)</f>
        <v>-413375</v>
      </c>
      <c r="F15" s="126">
        <f>SUM(F5:F14)</f>
        <v>24409920</v>
      </c>
    </row>
    <row r="16" spans="5:6" ht="23.25">
      <c r="E16" s="129" t="s">
        <v>143</v>
      </c>
      <c r="F16" s="130">
        <v>22445080</v>
      </c>
    </row>
    <row r="17" spans="5:6" ht="24" thickBot="1">
      <c r="E17" s="129" t="s">
        <v>86</v>
      </c>
      <c r="F17" s="131">
        <f>SUM(F15:F16)</f>
        <v>46855000</v>
      </c>
    </row>
    <row r="18" ht="24" thickTop="1"/>
    <row r="21" spans="1:6" ht="23.25">
      <c r="A21" s="212" t="s">
        <v>100</v>
      </c>
      <c r="B21" s="212" t="s">
        <v>98</v>
      </c>
      <c r="C21" s="212" t="s">
        <v>153</v>
      </c>
      <c r="D21" s="212" t="s">
        <v>154</v>
      </c>
      <c r="E21" s="134" t="s">
        <v>155</v>
      </c>
      <c r="F21" s="134" t="s">
        <v>156</v>
      </c>
    </row>
    <row r="22" spans="1:6" ht="23.25">
      <c r="A22" s="213"/>
      <c r="B22" s="213"/>
      <c r="C22" s="213"/>
      <c r="D22" s="213"/>
      <c r="E22" s="139" t="s">
        <v>157</v>
      </c>
      <c r="F22" s="135"/>
    </row>
    <row r="23" spans="1:6" ht="23.25">
      <c r="A23" s="132"/>
      <c r="B23" s="133" t="s">
        <v>110</v>
      </c>
      <c r="C23" s="132"/>
      <c r="D23" s="112"/>
      <c r="E23" s="112"/>
      <c r="F23" s="112"/>
    </row>
    <row r="24" spans="1:6" ht="23.25">
      <c r="A24" s="114">
        <v>1</v>
      </c>
      <c r="B24" s="115" t="s">
        <v>108</v>
      </c>
      <c r="C24" s="116">
        <v>5483410</v>
      </c>
      <c r="D24" s="117">
        <v>5683387</v>
      </c>
      <c r="E24" s="136">
        <v>5686390</v>
      </c>
      <c r="F24" s="117">
        <f aca="true" t="shared" si="1" ref="F24:F33">F5</f>
        <v>5683390</v>
      </c>
    </row>
    <row r="25" spans="1:6" ht="23.25">
      <c r="A25" s="119">
        <v>2</v>
      </c>
      <c r="B25" s="63" t="s">
        <v>101</v>
      </c>
      <c r="C25" s="117">
        <v>495170</v>
      </c>
      <c r="D25" s="117">
        <f>162398+234254+75693+54133</f>
        <v>526478</v>
      </c>
      <c r="E25" s="136">
        <v>526480</v>
      </c>
      <c r="F25" s="117">
        <f t="shared" si="1"/>
        <v>497250</v>
      </c>
    </row>
    <row r="26" spans="1:6" ht="23.25">
      <c r="A26" s="119">
        <v>3</v>
      </c>
      <c r="B26" s="63" t="s">
        <v>102</v>
      </c>
      <c r="C26" s="117">
        <v>1157700</v>
      </c>
      <c r="D26" s="117">
        <f>418100+489000+158000+135600</f>
        <v>1200700</v>
      </c>
      <c r="E26" s="136">
        <v>1200700</v>
      </c>
      <c r="F26" s="117">
        <f t="shared" si="1"/>
        <v>1107300</v>
      </c>
    </row>
    <row r="27" spans="1:6" ht="23.25">
      <c r="A27" s="119">
        <v>4</v>
      </c>
      <c r="B27" s="63" t="s">
        <v>103</v>
      </c>
      <c r="C27" s="117">
        <v>22000</v>
      </c>
      <c r="D27" s="117">
        <v>0</v>
      </c>
      <c r="E27" s="136">
        <v>0</v>
      </c>
      <c r="F27" s="117">
        <f t="shared" si="1"/>
        <v>20000</v>
      </c>
    </row>
    <row r="28" spans="1:6" ht="23.25">
      <c r="A28" s="119">
        <v>5</v>
      </c>
      <c r="B28" s="63" t="s">
        <v>104</v>
      </c>
      <c r="C28" s="117">
        <v>288000</v>
      </c>
      <c r="D28" s="117">
        <f>216000+72000</f>
        <v>288000</v>
      </c>
      <c r="E28" s="136">
        <v>288000</v>
      </c>
      <c r="F28" s="117">
        <f t="shared" si="1"/>
        <v>300000</v>
      </c>
    </row>
    <row r="29" spans="1:6" ht="23.25">
      <c r="A29" s="119">
        <v>6</v>
      </c>
      <c r="B29" s="63" t="s">
        <v>111</v>
      </c>
      <c r="C29" s="117">
        <v>2316940</v>
      </c>
      <c r="D29" s="117">
        <v>2747380</v>
      </c>
      <c r="E29" s="136">
        <v>2747380</v>
      </c>
      <c r="F29" s="117">
        <f t="shared" si="1"/>
        <v>2247180</v>
      </c>
    </row>
    <row r="30" spans="1:6" ht="23.25">
      <c r="A30" s="119">
        <v>7</v>
      </c>
      <c r="B30" s="63" t="s">
        <v>112</v>
      </c>
      <c r="C30" s="117">
        <v>10998000</v>
      </c>
      <c r="D30" s="141">
        <f>7846200+2615400</f>
        <v>10461600</v>
      </c>
      <c r="E30" s="140">
        <v>10461600</v>
      </c>
      <c r="F30" s="117">
        <f t="shared" si="1"/>
        <v>11163600</v>
      </c>
    </row>
    <row r="31" spans="1:6" ht="23.25">
      <c r="A31" s="119">
        <v>8</v>
      </c>
      <c r="B31" s="63" t="s">
        <v>105</v>
      </c>
      <c r="C31" s="117">
        <v>3091200</v>
      </c>
      <c r="D31" s="141">
        <f>1980000+660000</f>
        <v>2640000</v>
      </c>
      <c r="E31" s="140">
        <v>2640000</v>
      </c>
      <c r="F31" s="117">
        <f t="shared" si="1"/>
        <v>3283200</v>
      </c>
    </row>
    <row r="32" spans="1:6" ht="23.25">
      <c r="A32" s="119">
        <v>9</v>
      </c>
      <c r="B32" s="63" t="s">
        <v>106</v>
      </c>
      <c r="C32" s="117">
        <v>58500</v>
      </c>
      <c r="D32" s="117">
        <v>0</v>
      </c>
      <c r="E32" s="136">
        <v>0</v>
      </c>
      <c r="F32" s="117">
        <f t="shared" si="1"/>
        <v>58000</v>
      </c>
    </row>
    <row r="33" spans="1:6" ht="23.25">
      <c r="A33" s="119">
        <v>10</v>
      </c>
      <c r="B33" s="63" t="s">
        <v>107</v>
      </c>
      <c r="C33" s="120">
        <v>50000</v>
      </c>
      <c r="D33" s="121">
        <v>0</v>
      </c>
      <c r="E33" s="137">
        <v>0</v>
      </c>
      <c r="F33" s="121">
        <f t="shared" si="1"/>
        <v>50000</v>
      </c>
    </row>
    <row r="34" spans="1:6" ht="23.25">
      <c r="A34" s="123"/>
      <c r="B34" s="124" t="s">
        <v>86</v>
      </c>
      <c r="C34" s="125">
        <f>SUM(C24:C33)</f>
        <v>23960920</v>
      </c>
      <c r="D34" s="126">
        <f>SUM(D24:D33)</f>
        <v>23547545</v>
      </c>
      <c r="E34" s="138">
        <f>SUM(E24:E33)</f>
        <v>23550550</v>
      </c>
      <c r="F34" s="138">
        <f>SUM(F24:F33)</f>
        <v>24409920</v>
      </c>
    </row>
    <row r="35" spans="1:6" ht="23.25">
      <c r="A35" s="145"/>
      <c r="B35" s="146"/>
      <c r="C35" s="147"/>
      <c r="D35" s="147"/>
      <c r="E35" s="129" t="s">
        <v>143</v>
      </c>
      <c r="F35" s="130">
        <v>22445080</v>
      </c>
    </row>
    <row r="36" spans="1:6" ht="24" thickBot="1">
      <c r="A36" s="145"/>
      <c r="B36" s="146"/>
      <c r="C36" s="147"/>
      <c r="D36" s="147"/>
      <c r="E36" s="129" t="s">
        <v>86</v>
      </c>
      <c r="F36" s="131">
        <f>SUM(F34:F35)</f>
        <v>46855000</v>
      </c>
    </row>
    <row r="37" ht="24" thickTop="1">
      <c r="I37" s="40">
        <f>C30-D30</f>
        <v>536400</v>
      </c>
    </row>
    <row r="38" spans="2:9" ht="23.25">
      <c r="B38" s="108" t="s">
        <v>158</v>
      </c>
      <c r="C38" s="108" t="s">
        <v>161</v>
      </c>
      <c r="I38" s="40">
        <f>C31-D31</f>
        <v>451200</v>
      </c>
    </row>
    <row r="39" spans="2:3" ht="23.25">
      <c r="B39" s="108" t="s">
        <v>159</v>
      </c>
      <c r="C39" s="108" t="s">
        <v>160</v>
      </c>
    </row>
    <row r="40" spans="2:3" ht="23.25">
      <c r="B40" s="108" t="s">
        <v>162</v>
      </c>
      <c r="C40" s="108" t="s">
        <v>163</v>
      </c>
    </row>
  </sheetData>
  <sheetProtection/>
  <mergeCells count="6">
    <mergeCell ref="A1:F1"/>
    <mergeCell ref="A2:F2"/>
    <mergeCell ref="A21:A22"/>
    <mergeCell ref="B21:B22"/>
    <mergeCell ref="C21:C22"/>
    <mergeCell ref="D21:D22"/>
  </mergeCells>
  <printOptions/>
  <pageMargins left="0.31496062992125984" right="0.11811023622047245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7.421875" style="49" customWidth="1"/>
    <col min="2" max="2" width="17.421875" style="49" customWidth="1"/>
    <col min="3" max="3" width="9.00390625" style="49" customWidth="1"/>
    <col min="4" max="4" width="15.8515625" style="49" bestFit="1" customWidth="1"/>
    <col min="5" max="16384" width="9.00390625" style="49" customWidth="1"/>
  </cols>
  <sheetData>
    <row r="1" spans="1:2" ht="22.5" customHeight="1">
      <c r="A1" s="92" t="s">
        <v>53</v>
      </c>
      <c r="B1" s="93"/>
    </row>
    <row r="2" spans="1:2" ht="22.5" customHeight="1">
      <c r="A2" s="94" t="s">
        <v>117</v>
      </c>
      <c r="B2" s="95">
        <v>5683390</v>
      </c>
    </row>
    <row r="3" spans="1:2" ht="20.25">
      <c r="A3" s="94" t="s">
        <v>118</v>
      </c>
      <c r="B3" s="95">
        <f>B4+B5</f>
        <v>497250</v>
      </c>
    </row>
    <row r="4" spans="1:2" ht="20.25">
      <c r="A4" s="33" t="s">
        <v>130</v>
      </c>
      <c r="B4" s="96">
        <f>158*7.5*260</f>
        <v>308100</v>
      </c>
    </row>
    <row r="5" spans="1:2" ht="20.25">
      <c r="A5" s="33" t="s">
        <v>124</v>
      </c>
      <c r="B5" s="96">
        <f>97*7.5*260</f>
        <v>189150</v>
      </c>
    </row>
    <row r="6" spans="1:2" ht="20.25">
      <c r="A6" s="94" t="s">
        <v>119</v>
      </c>
      <c r="B6" s="95">
        <f>B7+B8</f>
        <v>1107300</v>
      </c>
    </row>
    <row r="7" spans="1:2" ht="20.25">
      <c r="A7" s="33" t="s">
        <v>126</v>
      </c>
      <c r="B7" s="96">
        <f>158*20*200</f>
        <v>632000</v>
      </c>
    </row>
    <row r="8" spans="1:2" ht="20.25">
      <c r="A8" s="33" t="s">
        <v>127</v>
      </c>
      <c r="B8" s="96">
        <f>97*20*245</f>
        <v>475300</v>
      </c>
    </row>
    <row r="9" spans="1:2" ht="20.25">
      <c r="A9" s="94" t="s">
        <v>120</v>
      </c>
      <c r="B9" s="95">
        <f>B10</f>
        <v>20000</v>
      </c>
    </row>
    <row r="10" spans="1:2" ht="20.25">
      <c r="A10" s="33" t="s">
        <v>125</v>
      </c>
      <c r="B10" s="96">
        <v>20000</v>
      </c>
    </row>
    <row r="11" spans="1:2" ht="20.25">
      <c r="A11" s="94" t="s">
        <v>116</v>
      </c>
      <c r="B11" s="95">
        <f>B12</f>
        <v>300000</v>
      </c>
    </row>
    <row r="12" spans="1:2" ht="20.25">
      <c r="A12" s="97" t="s">
        <v>147</v>
      </c>
      <c r="B12" s="96">
        <f>50*500*12</f>
        <v>300000</v>
      </c>
    </row>
    <row r="13" spans="1:2" ht="20.25">
      <c r="A13" s="94" t="s">
        <v>121</v>
      </c>
      <c r="B13" s="95">
        <f>SUM(B15:B30)</f>
        <v>2247180</v>
      </c>
    </row>
    <row r="14" spans="1:2" ht="20.25">
      <c r="A14" s="94" t="s">
        <v>133</v>
      </c>
      <c r="B14" s="96"/>
    </row>
    <row r="15" spans="1:2" ht="20.25">
      <c r="A15" s="33" t="s">
        <v>144</v>
      </c>
      <c r="B15" s="96">
        <f>23360*12</f>
        <v>280320</v>
      </c>
    </row>
    <row r="16" spans="1:2" ht="20.25">
      <c r="A16" s="33" t="s">
        <v>145</v>
      </c>
      <c r="B16" s="96">
        <f>22890*12</f>
        <v>274680</v>
      </c>
    </row>
    <row r="17" spans="1:2" ht="20.25">
      <c r="A17" s="33" t="s">
        <v>131</v>
      </c>
      <c r="B17" s="96">
        <f>23360*12</f>
        <v>280320</v>
      </c>
    </row>
    <row r="18" spans="1:2" ht="20.25">
      <c r="A18" s="33" t="s">
        <v>146</v>
      </c>
      <c r="B18" s="96">
        <f>22450*12</f>
        <v>269400</v>
      </c>
    </row>
    <row r="19" spans="1:2" ht="20.25">
      <c r="A19" s="94" t="s">
        <v>137</v>
      </c>
      <c r="B19" s="96"/>
    </row>
    <row r="20" spans="1:2" ht="20.25">
      <c r="A20" s="97" t="s">
        <v>88</v>
      </c>
      <c r="B20" s="96">
        <f>15000*12</f>
        <v>180000</v>
      </c>
    </row>
    <row r="21" spans="1:2" ht="20.25">
      <c r="A21" s="97" t="s">
        <v>89</v>
      </c>
      <c r="B21" s="96">
        <f>15000*12</f>
        <v>180000</v>
      </c>
    </row>
    <row r="22" spans="1:2" ht="20.25">
      <c r="A22" s="97" t="s">
        <v>90</v>
      </c>
      <c r="B22" s="96">
        <f>9400*12</f>
        <v>112800</v>
      </c>
    </row>
    <row r="23" spans="1:2" ht="20.25">
      <c r="A23" s="97" t="s">
        <v>91</v>
      </c>
      <c r="B23" s="96">
        <f>9400*12</f>
        <v>112800</v>
      </c>
    </row>
    <row r="24" spans="1:2" ht="20.25">
      <c r="A24" s="97" t="s">
        <v>92</v>
      </c>
      <c r="B24" s="96">
        <f>9400*12</f>
        <v>112800</v>
      </c>
    </row>
    <row r="25" spans="1:4" ht="20.25">
      <c r="A25" s="97" t="s">
        <v>129</v>
      </c>
      <c r="B25" s="96">
        <f>9400*12</f>
        <v>112800</v>
      </c>
      <c r="D25" s="86">
        <f>SUM(B20:B25)</f>
        <v>811200</v>
      </c>
    </row>
    <row r="26" spans="1:4" ht="20.25">
      <c r="A26" s="98" t="s">
        <v>138</v>
      </c>
      <c r="B26" s="96">
        <f>2000*4*12</f>
        <v>96000</v>
      </c>
      <c r="D26" s="86"/>
    </row>
    <row r="27" spans="1:2" ht="20.25">
      <c r="A27" s="98" t="s">
        <v>165</v>
      </c>
      <c r="B27" s="96">
        <f>907200*5%</f>
        <v>45360</v>
      </c>
    </row>
    <row r="28" spans="1:2" ht="20.25">
      <c r="A28" s="98" t="s">
        <v>134</v>
      </c>
      <c r="B28" s="96">
        <v>10000</v>
      </c>
    </row>
    <row r="29" spans="1:2" ht="20.25">
      <c r="A29" s="98" t="s">
        <v>135</v>
      </c>
      <c r="B29" s="96">
        <f>97*1700</f>
        <v>164900</v>
      </c>
    </row>
    <row r="30" spans="1:2" ht="20.25">
      <c r="A30" s="98" t="s">
        <v>136</v>
      </c>
      <c r="B30" s="96">
        <v>15000</v>
      </c>
    </row>
    <row r="31" spans="1:2" ht="20.25">
      <c r="A31" s="94" t="s">
        <v>171</v>
      </c>
      <c r="B31" s="95">
        <f>B32+B33+B34+B35</f>
        <v>11163600</v>
      </c>
    </row>
    <row r="32" spans="1:2" ht="20.25">
      <c r="A32" s="33" t="s">
        <v>166</v>
      </c>
      <c r="B32" s="96">
        <f>840*600*12</f>
        <v>6048000</v>
      </c>
    </row>
    <row r="33" spans="1:2" ht="20.25">
      <c r="A33" s="33" t="s">
        <v>167</v>
      </c>
      <c r="B33" s="96">
        <f>327*700*12</f>
        <v>2746800</v>
      </c>
    </row>
    <row r="34" spans="1:2" ht="20.25">
      <c r="A34" s="33" t="s">
        <v>168</v>
      </c>
      <c r="B34" s="96">
        <f>203*800*12</f>
        <v>1948800</v>
      </c>
    </row>
    <row r="35" spans="1:2" ht="20.25">
      <c r="A35" s="33" t="s">
        <v>169</v>
      </c>
      <c r="B35" s="96">
        <f>35*1000*12</f>
        <v>420000</v>
      </c>
    </row>
    <row r="36" spans="1:2" ht="20.25">
      <c r="A36" s="94" t="s">
        <v>140</v>
      </c>
      <c r="B36" s="95">
        <f>B37</f>
        <v>3283200</v>
      </c>
    </row>
    <row r="37" spans="1:4" ht="20.25">
      <c r="A37" s="33" t="s">
        <v>170</v>
      </c>
      <c r="B37" s="96">
        <f>342*800*12</f>
        <v>3283200</v>
      </c>
      <c r="D37" s="86">
        <f>B11+B31+B36</f>
        <v>14746800</v>
      </c>
    </row>
    <row r="38" spans="1:4" ht="20.25">
      <c r="A38" s="94" t="s">
        <v>122</v>
      </c>
      <c r="B38" s="96">
        <v>58000</v>
      </c>
      <c r="D38" s="86"/>
    </row>
    <row r="39" spans="1:2" ht="20.25">
      <c r="A39" s="91" t="s">
        <v>123</v>
      </c>
      <c r="B39" s="90">
        <v>50000</v>
      </c>
    </row>
    <row r="40" spans="1:2" ht="22.5">
      <c r="A40" s="51" t="s">
        <v>94</v>
      </c>
      <c r="B40" s="50">
        <f>B2+B3+B6+B9+B11+B13+B31+B36+B38+B39</f>
        <v>24409920</v>
      </c>
    </row>
    <row r="41" spans="1:2" ht="20.25" customHeight="1">
      <c r="A41" s="51" t="s">
        <v>128</v>
      </c>
      <c r="B41" s="52"/>
    </row>
    <row r="42" spans="1:2" ht="20.25" customHeight="1">
      <c r="A42" s="51" t="s">
        <v>95</v>
      </c>
      <c r="B42" s="52">
        <f>B41-B40</f>
        <v>-24409920</v>
      </c>
    </row>
    <row r="44" ht="16.5">
      <c r="D44" s="49">
        <v>18997970</v>
      </c>
    </row>
  </sheetData>
  <sheetProtection/>
  <printOptions/>
  <pageMargins left="0.2362204724409449" right="0.2362204724409449" top="0.15748031496062992" bottom="0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H12" sqref="H12"/>
    </sheetView>
  </sheetViews>
  <sheetFormatPr defaultColWidth="9.140625" defaultRowHeight="15"/>
  <cols>
    <col min="1" max="1" width="6.8515625" style="169" customWidth="1"/>
    <col min="2" max="2" width="46.140625" style="1" customWidth="1"/>
    <col min="3" max="3" width="19.421875" style="1" customWidth="1"/>
    <col min="4" max="4" width="12.57421875" style="1" customWidth="1"/>
    <col min="5" max="16384" width="9.00390625" style="1" customWidth="1"/>
  </cols>
  <sheetData>
    <row r="1" spans="1:4" ht="24.75">
      <c r="A1" s="208" t="s">
        <v>173</v>
      </c>
      <c r="B1" s="208"/>
      <c r="C1" s="208"/>
      <c r="D1" s="208"/>
    </row>
    <row r="2" spans="1:4" ht="24.75">
      <c r="A2" s="208" t="s">
        <v>174</v>
      </c>
      <c r="B2" s="208"/>
      <c r="C2" s="208"/>
      <c r="D2" s="208"/>
    </row>
    <row r="3" spans="1:4" ht="24.75">
      <c r="A3" s="214" t="s">
        <v>175</v>
      </c>
      <c r="B3" s="214" t="s">
        <v>98</v>
      </c>
      <c r="C3" s="216" t="s">
        <v>176</v>
      </c>
      <c r="D3" s="214" t="s">
        <v>178</v>
      </c>
    </row>
    <row r="4" spans="1:4" ht="24.75">
      <c r="A4" s="214"/>
      <c r="B4" s="214"/>
      <c r="C4" s="217" t="s">
        <v>177</v>
      </c>
      <c r="D4" s="214"/>
    </row>
    <row r="5" spans="1:4" ht="24.75">
      <c r="A5" s="59">
        <v>1</v>
      </c>
      <c r="B5" s="4" t="s">
        <v>179</v>
      </c>
      <c r="C5" s="218"/>
      <c r="D5" s="215"/>
    </row>
    <row r="6" spans="1:4" ht="24.75">
      <c r="A6" s="59"/>
      <c r="B6" s="215" t="s">
        <v>180</v>
      </c>
      <c r="C6" s="218">
        <v>98000</v>
      </c>
      <c r="D6" s="215"/>
    </row>
    <row r="7" spans="1:4" ht="24.75">
      <c r="A7" s="59"/>
      <c r="B7" s="215" t="s">
        <v>181</v>
      </c>
      <c r="C7" s="218">
        <v>70000</v>
      </c>
      <c r="D7" s="215"/>
    </row>
    <row r="8" spans="1:4" ht="24.75">
      <c r="A8" s="59"/>
      <c r="B8" s="215" t="s">
        <v>182</v>
      </c>
      <c r="C8" s="218">
        <v>55000</v>
      </c>
      <c r="D8" s="215"/>
    </row>
    <row r="9" spans="1:4" ht="24.75">
      <c r="A9" s="59"/>
      <c r="B9" s="215" t="s">
        <v>190</v>
      </c>
      <c r="C9" s="218">
        <v>20000</v>
      </c>
      <c r="D9" s="215"/>
    </row>
    <row r="10" spans="1:4" ht="24.75">
      <c r="A10" s="59"/>
      <c r="B10" s="215" t="s">
        <v>183</v>
      </c>
      <c r="C10" s="218">
        <v>75000</v>
      </c>
      <c r="D10" s="215"/>
    </row>
    <row r="11" spans="1:4" ht="24.75">
      <c r="A11" s="59">
        <v>2</v>
      </c>
      <c r="B11" s="4" t="s">
        <v>184</v>
      </c>
      <c r="C11" s="218"/>
      <c r="D11" s="215"/>
    </row>
    <row r="12" spans="1:4" ht="24.75">
      <c r="A12" s="59"/>
      <c r="B12" s="215" t="s">
        <v>185</v>
      </c>
      <c r="C12" s="218">
        <v>653000</v>
      </c>
      <c r="D12" s="215"/>
    </row>
    <row r="13" spans="1:4" ht="24.75">
      <c r="A13" s="59">
        <v>3</v>
      </c>
      <c r="B13" s="4" t="s">
        <v>186</v>
      </c>
      <c r="C13" s="218"/>
      <c r="D13" s="215"/>
    </row>
    <row r="14" spans="1:4" ht="24.75">
      <c r="A14" s="59"/>
      <c r="B14" s="215" t="s">
        <v>187</v>
      </c>
      <c r="C14" s="218">
        <v>12000</v>
      </c>
      <c r="D14" s="215"/>
    </row>
    <row r="15" spans="1:4" ht="24.75">
      <c r="A15" s="59"/>
      <c r="B15" s="5" t="s">
        <v>84</v>
      </c>
      <c r="C15" s="103">
        <f>SUM(C6:C14)</f>
        <v>983000</v>
      </c>
      <c r="D15" s="215"/>
    </row>
    <row r="16" spans="1:4" ht="24.75">
      <c r="A16" s="59"/>
      <c r="B16" s="5" t="s">
        <v>188</v>
      </c>
      <c r="C16" s="103">
        <v>22445080</v>
      </c>
      <c r="D16" s="215"/>
    </row>
    <row r="17" spans="1:4" ht="24.75">
      <c r="A17" s="59"/>
      <c r="B17" s="5" t="s">
        <v>189</v>
      </c>
      <c r="C17" s="219">
        <f>C15*100/C16</f>
        <v>4.379578954496932</v>
      </c>
      <c r="D17" s="215"/>
    </row>
  </sheetData>
  <sheetProtection/>
  <mergeCells count="5">
    <mergeCell ref="A1:D1"/>
    <mergeCell ref="A2:D2"/>
    <mergeCell ref="A3:A4"/>
    <mergeCell ref="B3:B4"/>
    <mergeCell ref="D3:D4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HP</cp:lastModifiedBy>
  <cp:lastPrinted>2017-09-05T04:27:36Z</cp:lastPrinted>
  <dcterms:created xsi:type="dcterms:W3CDTF">2012-05-09T20:15:51Z</dcterms:created>
  <dcterms:modified xsi:type="dcterms:W3CDTF">2017-09-05T04:31:27Z</dcterms:modified>
  <cp:category/>
  <cp:version/>
  <cp:contentType/>
  <cp:contentStatus/>
</cp:coreProperties>
</file>